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avyd.faria.SEMARH\Google Drive\AGB Peixe Vivo\P3\UTE Jabó Baldim\Baldim Sede\Revisão\"/>
    </mc:Choice>
  </mc:AlternateContent>
  <bookViews>
    <workbookView xWindow="0" yWindow="0" windowWidth="23040" windowHeight="9090" tabRatio="770" firstSheet="7" activeTab="9"/>
  </bookViews>
  <sheets>
    <sheet name="Custos Ligações" sheetId="1" r:id="rId1"/>
    <sheet name="CUSTO UASB" sheetId="2" r:id="rId2"/>
    <sheet name="CUSTO LAGOA FACULTAT" sheetId="3" r:id="rId3"/>
    <sheet name="FILTRO BIOLOG" sheetId="5" r:id="rId4"/>
    <sheet name="Serie SNIS" sheetId="6" r:id="rId5"/>
    <sheet name="LAGOA ANAER E FACULTA" sheetId="4" r:id="rId6"/>
    <sheet name="Lagoa Facultativa" sheetId="7" r:id="rId7"/>
    <sheet name="Filtro Biológico" sheetId="8" r:id="rId8"/>
    <sheet name="UASB" sheetId="9" r:id="rId9"/>
    <sheet name="UASB + Filtro" sheetId="10" r:id="rId10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8" l="1"/>
  <c r="I8" i="10" l="1"/>
  <c r="I8" i="9"/>
  <c r="I8" i="8"/>
  <c r="I8" i="7"/>
  <c r="I8" i="4"/>
  <c r="F28" i="4"/>
  <c r="F27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E25" i="4"/>
  <c r="E24" i="4"/>
  <c r="E23" i="4"/>
  <c r="E22" i="4"/>
  <c r="E21" i="4"/>
  <c r="E20" i="4"/>
  <c r="E19" i="4"/>
  <c r="E18" i="4"/>
  <c r="E17" i="4"/>
  <c r="E16" i="4"/>
  <c r="E15" i="4"/>
  <c r="E14" i="4"/>
  <c r="E13" i="4"/>
  <c r="E12" i="4"/>
  <c r="E11" i="4"/>
  <c r="E10" i="4"/>
  <c r="E9" i="4"/>
  <c r="E8" i="4"/>
  <c r="E7" i="4"/>
  <c r="E6" i="4"/>
  <c r="E5" i="4"/>
  <c r="D14" i="4"/>
  <c r="D13" i="4"/>
  <c r="D12" i="4"/>
  <c r="D11" i="4"/>
  <c r="D10" i="4"/>
  <c r="D9" i="4"/>
  <c r="D7" i="4"/>
  <c r="D6" i="4"/>
  <c r="D5" i="4"/>
  <c r="J20" i="7" l="1"/>
  <c r="K8" i="7" l="1"/>
  <c r="K8" i="4"/>
  <c r="F25" i="10" l="1"/>
  <c r="D25" i="10"/>
  <c r="E25" i="10" s="1"/>
  <c r="F24" i="10"/>
  <c r="D24" i="10"/>
  <c r="E24" i="10" s="1"/>
  <c r="F23" i="10"/>
  <c r="D23" i="10"/>
  <c r="E23" i="10" s="1"/>
  <c r="F22" i="10"/>
  <c r="D22" i="10"/>
  <c r="E22" i="10" s="1"/>
  <c r="F21" i="10"/>
  <c r="D21" i="10"/>
  <c r="E21" i="10" s="1"/>
  <c r="F20" i="10"/>
  <c r="D20" i="10"/>
  <c r="E20" i="10" s="1"/>
  <c r="F19" i="10"/>
  <c r="D19" i="10"/>
  <c r="E19" i="10" s="1"/>
  <c r="F18" i="10"/>
  <c r="D18" i="10"/>
  <c r="E18" i="10" s="1"/>
  <c r="F17" i="10"/>
  <c r="D17" i="10"/>
  <c r="E17" i="10" s="1"/>
  <c r="F16" i="10"/>
  <c r="D16" i="10"/>
  <c r="E16" i="10" s="1"/>
  <c r="F15" i="10"/>
  <c r="D15" i="10"/>
  <c r="E15" i="10" s="1"/>
  <c r="F14" i="10"/>
  <c r="D14" i="10"/>
  <c r="E14" i="10" s="1"/>
  <c r="F13" i="10"/>
  <c r="D13" i="10"/>
  <c r="E13" i="10" s="1"/>
  <c r="F12" i="10"/>
  <c r="D12" i="10"/>
  <c r="E12" i="10" s="1"/>
  <c r="F11" i="10"/>
  <c r="D11" i="10"/>
  <c r="E11" i="10" s="1"/>
  <c r="F10" i="10"/>
  <c r="D10" i="10"/>
  <c r="E10" i="10" s="1"/>
  <c r="F9" i="10"/>
  <c r="D9" i="10"/>
  <c r="E9" i="10" s="1"/>
  <c r="F8" i="10"/>
  <c r="D8" i="10"/>
  <c r="E8" i="10" s="1"/>
  <c r="F7" i="10"/>
  <c r="D7" i="10"/>
  <c r="E7" i="10" s="1"/>
  <c r="F6" i="10"/>
  <c r="D6" i="10"/>
  <c r="E6" i="10" s="1"/>
  <c r="F5" i="10"/>
  <c r="D5" i="10"/>
  <c r="E5" i="10" s="1"/>
  <c r="F25" i="9"/>
  <c r="D25" i="9"/>
  <c r="E25" i="9" s="1"/>
  <c r="F24" i="9"/>
  <c r="D24" i="9"/>
  <c r="E24" i="9" s="1"/>
  <c r="F23" i="9"/>
  <c r="D23" i="9"/>
  <c r="E23" i="9" s="1"/>
  <c r="F22" i="9"/>
  <c r="D22" i="9"/>
  <c r="E22" i="9" s="1"/>
  <c r="F21" i="9"/>
  <c r="D21" i="9"/>
  <c r="E21" i="9" s="1"/>
  <c r="F20" i="9"/>
  <c r="D20" i="9"/>
  <c r="E20" i="9" s="1"/>
  <c r="F19" i="9"/>
  <c r="D19" i="9"/>
  <c r="E19" i="9" s="1"/>
  <c r="F18" i="9"/>
  <c r="D18" i="9"/>
  <c r="E18" i="9" s="1"/>
  <c r="F17" i="9"/>
  <c r="D17" i="9"/>
  <c r="E17" i="9" s="1"/>
  <c r="F16" i="9"/>
  <c r="D16" i="9"/>
  <c r="E16" i="9" s="1"/>
  <c r="F15" i="9"/>
  <c r="D15" i="9"/>
  <c r="E15" i="9" s="1"/>
  <c r="F14" i="9"/>
  <c r="D14" i="9"/>
  <c r="E14" i="9" s="1"/>
  <c r="F13" i="9"/>
  <c r="D13" i="9"/>
  <c r="E13" i="9" s="1"/>
  <c r="F12" i="9"/>
  <c r="D12" i="9"/>
  <c r="E12" i="9" s="1"/>
  <c r="F11" i="9"/>
  <c r="D11" i="9"/>
  <c r="E11" i="9" s="1"/>
  <c r="F10" i="9"/>
  <c r="D10" i="9"/>
  <c r="E10" i="9" s="1"/>
  <c r="F9" i="9"/>
  <c r="D9" i="9"/>
  <c r="E9" i="9" s="1"/>
  <c r="F8" i="9"/>
  <c r="D8" i="9"/>
  <c r="E8" i="9" s="1"/>
  <c r="F7" i="9"/>
  <c r="D7" i="9"/>
  <c r="E7" i="9" s="1"/>
  <c r="F6" i="9"/>
  <c r="D6" i="9"/>
  <c r="E6" i="9" s="1"/>
  <c r="F5" i="9"/>
  <c r="D5" i="9"/>
  <c r="E5" i="9" s="1"/>
  <c r="F25" i="8"/>
  <c r="D25" i="8"/>
  <c r="E25" i="8" s="1"/>
  <c r="F24" i="8"/>
  <c r="D24" i="8"/>
  <c r="E24" i="8" s="1"/>
  <c r="F23" i="8"/>
  <c r="D23" i="8"/>
  <c r="E23" i="8" s="1"/>
  <c r="F22" i="8"/>
  <c r="D22" i="8"/>
  <c r="E22" i="8" s="1"/>
  <c r="F21" i="8"/>
  <c r="D21" i="8"/>
  <c r="E21" i="8" s="1"/>
  <c r="F20" i="8"/>
  <c r="D20" i="8"/>
  <c r="E20" i="8" s="1"/>
  <c r="F19" i="8"/>
  <c r="D19" i="8"/>
  <c r="E19" i="8" s="1"/>
  <c r="F18" i="8"/>
  <c r="D18" i="8"/>
  <c r="E18" i="8" s="1"/>
  <c r="F17" i="8"/>
  <c r="D17" i="8"/>
  <c r="E17" i="8" s="1"/>
  <c r="F16" i="8"/>
  <c r="D16" i="8"/>
  <c r="E16" i="8" s="1"/>
  <c r="F15" i="8"/>
  <c r="D15" i="8"/>
  <c r="E15" i="8" s="1"/>
  <c r="F14" i="8"/>
  <c r="D14" i="8"/>
  <c r="E14" i="8" s="1"/>
  <c r="F13" i="8"/>
  <c r="D13" i="8"/>
  <c r="E13" i="8" s="1"/>
  <c r="F12" i="8"/>
  <c r="D12" i="8"/>
  <c r="E12" i="8" s="1"/>
  <c r="F11" i="8"/>
  <c r="D11" i="8"/>
  <c r="E11" i="8" s="1"/>
  <c r="F10" i="8"/>
  <c r="D10" i="8"/>
  <c r="E10" i="8" s="1"/>
  <c r="F9" i="8"/>
  <c r="D9" i="8"/>
  <c r="E9" i="8" s="1"/>
  <c r="F8" i="8"/>
  <c r="D8" i="8"/>
  <c r="E8" i="8" s="1"/>
  <c r="F7" i="8"/>
  <c r="D7" i="8"/>
  <c r="E7" i="8" s="1"/>
  <c r="F6" i="8"/>
  <c r="D6" i="8"/>
  <c r="E6" i="8" s="1"/>
  <c r="F5" i="8"/>
  <c r="D5" i="8"/>
  <c r="E5" i="8" s="1"/>
  <c r="F25" i="7"/>
  <c r="D25" i="7"/>
  <c r="E25" i="7" s="1"/>
  <c r="F24" i="7"/>
  <c r="D24" i="7"/>
  <c r="E24" i="7" s="1"/>
  <c r="F23" i="7"/>
  <c r="D23" i="7"/>
  <c r="E23" i="7" s="1"/>
  <c r="F22" i="7"/>
  <c r="D22" i="7"/>
  <c r="E22" i="7" s="1"/>
  <c r="F21" i="7"/>
  <c r="D21" i="7"/>
  <c r="E21" i="7" s="1"/>
  <c r="F20" i="7"/>
  <c r="D20" i="7"/>
  <c r="E20" i="7" s="1"/>
  <c r="F19" i="7"/>
  <c r="D19" i="7"/>
  <c r="E19" i="7" s="1"/>
  <c r="F18" i="7"/>
  <c r="D18" i="7"/>
  <c r="E18" i="7" s="1"/>
  <c r="F17" i="7"/>
  <c r="D17" i="7"/>
  <c r="E17" i="7" s="1"/>
  <c r="F16" i="7"/>
  <c r="D16" i="7"/>
  <c r="E16" i="7" s="1"/>
  <c r="F15" i="7"/>
  <c r="D15" i="7"/>
  <c r="E15" i="7" s="1"/>
  <c r="F14" i="7"/>
  <c r="D14" i="7"/>
  <c r="E14" i="7" s="1"/>
  <c r="F13" i="7"/>
  <c r="D13" i="7"/>
  <c r="E13" i="7" s="1"/>
  <c r="F12" i="7"/>
  <c r="D12" i="7"/>
  <c r="E12" i="7" s="1"/>
  <c r="F11" i="7"/>
  <c r="D11" i="7"/>
  <c r="E11" i="7" s="1"/>
  <c r="F10" i="7"/>
  <c r="D10" i="7"/>
  <c r="E10" i="7" s="1"/>
  <c r="F9" i="7"/>
  <c r="D9" i="7"/>
  <c r="E9" i="7" s="1"/>
  <c r="F8" i="7"/>
  <c r="D8" i="7"/>
  <c r="E8" i="7" s="1"/>
  <c r="F7" i="7"/>
  <c r="D7" i="7"/>
  <c r="E7" i="7" s="1"/>
  <c r="F6" i="7"/>
  <c r="D6" i="7"/>
  <c r="E6" i="7" s="1"/>
  <c r="F5" i="7"/>
  <c r="D5" i="7"/>
  <c r="E5" i="7" s="1"/>
  <c r="D8" i="4"/>
  <c r="D15" i="4"/>
  <c r="D16" i="4"/>
  <c r="D17" i="4"/>
  <c r="D18" i="4"/>
  <c r="D19" i="4"/>
  <c r="D20" i="4"/>
  <c r="D21" i="4"/>
  <c r="D22" i="4"/>
  <c r="D23" i="4"/>
  <c r="D24" i="4"/>
  <c r="D25" i="4"/>
  <c r="F28" i="7" l="1"/>
  <c r="F28" i="10"/>
  <c r="F27" i="10"/>
  <c r="H28" i="10" s="1"/>
  <c r="I10" i="10" s="1"/>
  <c r="F28" i="9"/>
  <c r="F27" i="9"/>
  <c r="F28" i="8"/>
  <c r="F27" i="7"/>
  <c r="H28" i="7" s="1"/>
  <c r="I10" i="7" s="1"/>
  <c r="K16" i="5"/>
  <c r="I4" i="5"/>
  <c r="H28" i="8" l="1"/>
  <c r="I10" i="8" s="1"/>
  <c r="H28" i="9"/>
  <c r="I10" i="9" s="1"/>
  <c r="K23" i="5"/>
  <c r="H26" i="5"/>
  <c r="C4" i="5" l="1"/>
  <c r="H27" i="5" l="1"/>
  <c r="K27" i="5"/>
  <c r="I28" i="2"/>
  <c r="I71" i="3"/>
  <c r="C91" i="3" l="1"/>
  <c r="C86" i="3"/>
  <c r="G48" i="5"/>
  <c r="G42" i="5"/>
  <c r="I70" i="3" l="1"/>
  <c r="K71" i="3" s="1"/>
  <c r="I5" i="5"/>
  <c r="I6" i="5"/>
  <c r="I7" i="5"/>
  <c r="I8" i="5"/>
  <c r="I9" i="5"/>
  <c r="I10" i="5"/>
  <c r="I11" i="5"/>
  <c r="I12" i="5"/>
  <c r="I13" i="5"/>
  <c r="I14" i="5"/>
  <c r="I15" i="5"/>
  <c r="I16" i="5"/>
  <c r="I17" i="5"/>
  <c r="I18" i="5"/>
  <c r="I19" i="5"/>
  <c r="I20" i="5"/>
  <c r="I21" i="5"/>
  <c r="I22" i="5"/>
  <c r="I23" i="5"/>
  <c r="I24" i="5"/>
  <c r="H28" i="4"/>
  <c r="I10" i="4" s="1"/>
  <c r="J47" i="3"/>
  <c r="J48" i="3"/>
  <c r="J49" i="3"/>
  <c r="J50" i="3"/>
  <c r="J51" i="3"/>
  <c r="J52" i="3"/>
  <c r="J53" i="3"/>
  <c r="J54" i="3"/>
  <c r="J55" i="3"/>
  <c r="J56" i="3"/>
  <c r="J57" i="3"/>
  <c r="J58" i="3"/>
  <c r="J59" i="3"/>
  <c r="J60" i="3"/>
  <c r="J61" i="3"/>
  <c r="J62" i="3"/>
  <c r="J63" i="3"/>
  <c r="J64" i="3"/>
  <c r="J65" i="3"/>
  <c r="J66" i="3"/>
  <c r="J46" i="3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5" i="2"/>
  <c r="I27" i="2"/>
  <c r="K28" i="2" s="1"/>
  <c r="I27" i="5" l="1"/>
  <c r="I29" i="5" s="1"/>
  <c r="D6" i="2"/>
  <c r="D7" i="2"/>
  <c r="D8" i="2"/>
  <c r="D9" i="2"/>
  <c r="D10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F16" i="5"/>
  <c r="F17" i="5"/>
  <c r="F18" i="5"/>
  <c r="F19" i="5"/>
  <c r="F20" i="5"/>
  <c r="F21" i="5"/>
  <c r="F22" i="5"/>
  <c r="F23" i="5"/>
  <c r="F24" i="5"/>
  <c r="F6" i="5"/>
  <c r="F7" i="5"/>
  <c r="F8" i="5"/>
  <c r="F9" i="5"/>
  <c r="F10" i="5"/>
  <c r="F11" i="5"/>
  <c r="F12" i="5"/>
  <c r="F13" i="5"/>
  <c r="F14" i="5"/>
  <c r="F15" i="5"/>
  <c r="F5" i="5"/>
  <c r="F4" i="5"/>
  <c r="G14" i="2"/>
  <c r="G15" i="2"/>
  <c r="G16" i="2"/>
  <c r="G17" i="2"/>
  <c r="G18" i="2"/>
  <c r="G19" i="2"/>
  <c r="G20" i="2"/>
  <c r="G21" i="2"/>
  <c r="G22" i="2"/>
  <c r="G23" i="2"/>
  <c r="G24" i="2"/>
  <c r="G25" i="2"/>
  <c r="G7" i="2"/>
  <c r="G8" i="2"/>
  <c r="G9" i="2"/>
  <c r="G10" i="2"/>
  <c r="G11" i="2"/>
  <c r="G12" i="2"/>
  <c r="G13" i="2"/>
  <c r="G6" i="2"/>
  <c r="G5" i="2"/>
  <c r="E17" i="5"/>
  <c r="E18" i="5"/>
  <c r="E19" i="5"/>
  <c r="E20" i="5"/>
  <c r="E21" i="5"/>
  <c r="E22" i="5"/>
  <c r="E23" i="5"/>
  <c r="E24" i="5"/>
  <c r="E6" i="5"/>
  <c r="E7" i="5"/>
  <c r="E8" i="5"/>
  <c r="E9" i="5"/>
  <c r="E10" i="5"/>
  <c r="E11" i="5"/>
  <c r="E12" i="5"/>
  <c r="E13" i="5"/>
  <c r="E14" i="5"/>
  <c r="E15" i="5"/>
  <c r="E16" i="5"/>
  <c r="E5" i="5"/>
  <c r="E4" i="5"/>
  <c r="D17" i="5"/>
  <c r="D18" i="5"/>
  <c r="D19" i="5"/>
  <c r="D20" i="5"/>
  <c r="D21" i="5"/>
  <c r="D22" i="5"/>
  <c r="D23" i="5"/>
  <c r="D24" i="5"/>
  <c r="D6" i="5"/>
  <c r="D7" i="5"/>
  <c r="D8" i="5"/>
  <c r="D9" i="5"/>
  <c r="D10" i="5"/>
  <c r="D11" i="5"/>
  <c r="D12" i="5"/>
  <c r="D13" i="5"/>
  <c r="D14" i="5"/>
  <c r="D15" i="5"/>
  <c r="D16" i="5"/>
  <c r="D5" i="5"/>
  <c r="D4" i="5"/>
  <c r="C16" i="5"/>
  <c r="C17" i="5"/>
  <c r="C18" i="5"/>
  <c r="C19" i="5"/>
  <c r="C20" i="5"/>
  <c r="C21" i="5"/>
  <c r="C22" i="5"/>
  <c r="C23" i="5"/>
  <c r="C24" i="5"/>
  <c r="C6" i="5"/>
  <c r="C7" i="5"/>
  <c r="C8" i="5"/>
  <c r="C9" i="5"/>
  <c r="C10" i="5"/>
  <c r="C11" i="5"/>
  <c r="C12" i="5"/>
  <c r="C13" i="5"/>
  <c r="C14" i="5"/>
  <c r="C15" i="5"/>
  <c r="C5" i="5"/>
  <c r="F48" i="3"/>
  <c r="F49" i="3"/>
  <c r="F50" i="3"/>
  <c r="F51" i="3"/>
  <c r="F52" i="3"/>
  <c r="F53" i="3"/>
  <c r="F54" i="3"/>
  <c r="F55" i="3"/>
  <c r="F56" i="3"/>
  <c r="F57" i="3"/>
  <c r="F58" i="3"/>
  <c r="F59" i="3"/>
  <c r="F60" i="3"/>
  <c r="F61" i="3"/>
  <c r="F62" i="3"/>
  <c r="F63" i="3"/>
  <c r="F64" i="3"/>
  <c r="F65" i="3"/>
  <c r="F66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F47" i="3"/>
  <c r="E47" i="3"/>
  <c r="F46" i="3"/>
  <c r="E46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47" i="3"/>
  <c r="D46" i="3"/>
  <c r="F7" i="2" l="1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6" i="2"/>
  <c r="E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6" i="2"/>
  <c r="E5" i="2"/>
  <c r="F5" i="2"/>
  <c r="D5" i="2"/>
  <c r="C88" i="3" l="1"/>
  <c r="C83" i="3"/>
  <c r="G45" i="5"/>
  <c r="G39" i="5"/>
  <c r="D52" i="2"/>
  <c r="D48" i="2"/>
  <c r="K4" i="3" l="1"/>
  <c r="K5" i="3" l="1"/>
  <c r="K34" i="3"/>
  <c r="K35" i="3"/>
  <c r="K36" i="3"/>
  <c r="K37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6" i="3"/>
  <c r="K7" i="3"/>
  <c r="K8" i="3"/>
  <c r="K9" i="3"/>
  <c r="K10" i="3"/>
  <c r="K11" i="3"/>
  <c r="K12" i="3"/>
  <c r="K13" i="3"/>
  <c r="K14" i="3"/>
  <c r="K15" i="3"/>
  <c r="K16" i="3"/>
  <c r="K17" i="3"/>
  <c r="L17" i="3" s="1"/>
  <c r="K18" i="3"/>
  <c r="K19" i="3"/>
  <c r="L4" i="3"/>
  <c r="H5" i="1"/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4" i="1"/>
  <c r="D25" i="3"/>
  <c r="E25" i="3"/>
  <c r="F25" i="3"/>
  <c r="C25" i="3"/>
  <c r="D5" i="1"/>
  <c r="E5" i="1" s="1"/>
  <c r="D6" i="1"/>
  <c r="E6" i="1" s="1"/>
  <c r="D7" i="1"/>
  <c r="E7" i="1" s="1"/>
  <c r="D8" i="1"/>
  <c r="E8" i="1" s="1"/>
  <c r="D9" i="1"/>
  <c r="E9" i="1" s="1"/>
  <c r="D10" i="1"/>
  <c r="E10" i="1" s="1"/>
  <c r="D11" i="1"/>
  <c r="E11" i="1" s="1"/>
  <c r="D12" i="1"/>
  <c r="E12" i="1" s="1"/>
  <c r="D13" i="1"/>
  <c r="E13" i="1" s="1"/>
  <c r="D14" i="1"/>
  <c r="E14" i="1" s="1"/>
  <c r="D15" i="1"/>
  <c r="E15" i="1" s="1"/>
  <c r="D16" i="1"/>
  <c r="E16" i="1" s="1"/>
  <c r="D17" i="1"/>
  <c r="E17" i="1" s="1"/>
  <c r="D18" i="1"/>
  <c r="E18" i="1" s="1"/>
  <c r="D19" i="1"/>
  <c r="E19" i="1" s="1"/>
  <c r="D20" i="1"/>
  <c r="E20" i="1" s="1"/>
  <c r="D21" i="1"/>
  <c r="E21" i="1" s="1"/>
  <c r="D22" i="1"/>
  <c r="E22" i="1" s="1"/>
  <c r="D23" i="1"/>
  <c r="E23" i="1" s="1"/>
  <c r="D4" i="1"/>
  <c r="E4" i="1" s="1"/>
  <c r="E24" i="1" l="1"/>
  <c r="F24" i="1"/>
</calcChain>
</file>

<file path=xl/sharedStrings.xml><?xml version="1.0" encoding="utf-8"?>
<sst xmlns="http://schemas.openxmlformats.org/spreadsheetml/2006/main" count="247" uniqueCount="126">
  <si>
    <t>ANO</t>
  </si>
  <si>
    <t>INCREMENTO ANUAL DE POPULAÇÃO</t>
  </si>
  <si>
    <t>NÚMERO DE LIGAÇÕES</t>
  </si>
  <si>
    <t>CUSTOS ANUAIS DE LIGAÇÕES (R$)</t>
  </si>
  <si>
    <t>POPULAÇÃO (hab)</t>
  </si>
  <si>
    <t>-</t>
  </si>
  <si>
    <t>hab/domicilio</t>
  </si>
  <si>
    <t>l/hab/dia</t>
  </si>
  <si>
    <t>R$/m³</t>
  </si>
  <si>
    <t>IMPLANTAÇÃO</t>
  </si>
  <si>
    <t>TOTAL</t>
  </si>
  <si>
    <t>R$/dia/hab</t>
  </si>
  <si>
    <t>Considerados dados de Nova Lima, município limítrofe.</t>
  </si>
  <si>
    <t>POTENCIA CONSUMIDA    ( kWh/hab.ano)</t>
  </si>
  <si>
    <t>IMPLANTAÇÃO ( US$ /HAB)</t>
  </si>
  <si>
    <t>OPERAÇÃO E MANUTENÇÃO  (US$/HAB.ANO)</t>
  </si>
  <si>
    <t>SUPORTE DE DADOS COTAÇAO DO  DOLAR</t>
  </si>
  <si>
    <t xml:space="preserve">VALOR E UM DOLAR </t>
  </si>
  <si>
    <t>OPERAÇÃO, MANUTENÇÃO E ADMINISTRAÇÃO  ( UASB)</t>
  </si>
  <si>
    <t>QUANT. DOLAR</t>
  </si>
  <si>
    <t>VALOR EM REAL / HAB.</t>
  </si>
  <si>
    <t>POTENCIA INSTALADA  (W/HAB)</t>
  </si>
  <si>
    <t>ALTERNATIVA - UASB</t>
  </si>
  <si>
    <t>ALTERNATIVA - LAGOA FACULTATIVA</t>
  </si>
  <si>
    <t>ALTERNATIVA - LAGOA ANAEROBIA + LAGOA FACULTATIVA</t>
  </si>
  <si>
    <t>ALTERNATIVA - FILTRO BIOLOGICO DE ALTA CARGA</t>
  </si>
  <si>
    <t>Implantação  no Ano de 2017</t>
  </si>
  <si>
    <t>Operação e Manutenção  no Ano de 2017</t>
  </si>
  <si>
    <t>DOLAR 2º SEMESTRE 2004 = R$ 2,70</t>
  </si>
  <si>
    <t>BASE DE CÁLCULO VON SPERLING- VOLUME 1</t>
  </si>
  <si>
    <t>IN060 - Índice de despesas por consumo de energia elétrica nos sistemas de água e esgotos (R$/kWh)</t>
  </si>
  <si>
    <t>IN059 - Índice de consumo de energia elétrica em sistemas de esgotamento sanitário (kWh/m³)</t>
  </si>
  <si>
    <t xml:space="preserve"> DOLAR JULHO 2015= R$  3,37</t>
  </si>
  <si>
    <t>2,43 /3,37 =  0,721</t>
  </si>
  <si>
    <t>50.240 = x</t>
  </si>
  <si>
    <t>2,40 /3,70 =  0,648</t>
  </si>
  <si>
    <t>42.225 = 0,11</t>
  </si>
  <si>
    <t>x=  0, 131</t>
  </si>
  <si>
    <t>( 50.240x 0,11 )/ 42.225</t>
  </si>
  <si>
    <t>42.225 = 0,51</t>
  </si>
  <si>
    <t>0,51 /3,37 =  0,151</t>
  </si>
  <si>
    <t>( 50.240x 0,151 )/ 42.225</t>
  </si>
  <si>
    <t>x=  0,180</t>
  </si>
  <si>
    <t>Consumo Específico de Energia Elétrica (CE): É um indicador de desempenho passível de comparação a padrões estabelecidos internacionalmente. Para composição desse indicador são necessários registros de grandezas físicas durante o mesmo período de tempo. Para o cálculo do CE, utiliza-se a equação 2: Equação (2) Onde, Pa é a potência elétrica medida (kW); t é o tempo de bombeamento (h); V é o volume de água bombeado (m³).</t>
  </si>
  <si>
    <t>*** Dados de população obtidos no IBGE, considerando o ano de 2010 e a estimativa de crescimento populacional</t>
  </si>
  <si>
    <t>IN026 - Despesa de exploração por m3 faturado (R$/m³)</t>
  </si>
  <si>
    <t>IN003 - Despesa total com os serviços por m3 faturado (R$/m³)</t>
  </si>
  <si>
    <t>Índice de despesas por consumo de energia elétrica nos sistemas de água e esgotos                  (R$/kWh)</t>
  </si>
  <si>
    <t>Índice de consumo de energia elétrica em sistemas de esgotamento sanitário                  (kWh/m³)</t>
  </si>
  <si>
    <t>HABITANTE ***</t>
  </si>
  <si>
    <t>total de US$</t>
  </si>
  <si>
    <t>ÍNDICE DE CONSUMO DE  PRODUTOS QUIMICOS NO TRATAMENTO                (%) **</t>
  </si>
  <si>
    <t>MEMÓRIA DE CÁLCULO COM BASE NO SNIS - ITABIRITO, SÉRIE HISTÓRICA (ANO 2015)</t>
  </si>
  <si>
    <t xml:space="preserve">Fórmula dos Índices  despesas  por consumo de energia elétrica </t>
  </si>
  <si>
    <t xml:space="preserve">Fórmula da Despesa total dos serviços Faturados </t>
  </si>
  <si>
    <t xml:space="preserve">Fórmula das Despesas de exploração dos serviços </t>
  </si>
  <si>
    <t xml:space="preserve">Fórmula Índice de consumo de energia elétrica na exploração dos serviços </t>
  </si>
  <si>
    <t>Despesa de exploração por m³ faturado                 (R$/m³)</t>
  </si>
  <si>
    <t>Despesa total com os serviços por m³ faturado                    (R$/m³)</t>
  </si>
  <si>
    <t>* Dados obtidos através do Sistema Nacional de Informações sobre Saneamento (SNIS) de 2015, Serie Histórica de Itabirito</t>
  </si>
  <si>
    <t>INDICE DE CONSUMO DE ENERGIA ELETRICA NO SISTEMA PARA O BOMBEAMENTO DE EFLUENTES                                     (kWh/m³) *</t>
  </si>
  <si>
    <t>DESPESAS  POR M³ FATURADO  (US$/ m³) *</t>
  </si>
  <si>
    <t>DESPESAS TOTAL ACUMULADA POR M³ FATURADO  (US$/ m³) *</t>
  </si>
  <si>
    <t>INDICE DE CONSUMO DE  PRODUTOS QUIMICOS NO TRATAMENTO      (%) *</t>
  </si>
  <si>
    <t>VALOR DE IMPLANTAÇÃO                    (US$ / HAB.)**</t>
  </si>
  <si>
    <t xml:space="preserve">VALOR DE MANUTENÇÃO E OPERAÇÃO              (US$ / HAB. ANO)**   </t>
  </si>
  <si>
    <t xml:space="preserve">**80/2,70 US$ = </t>
  </si>
  <si>
    <t xml:space="preserve">**4/2,70 US$ = </t>
  </si>
  <si>
    <t>VALOR TOTAL DE IMPLANTAÇÃO (POPULAÇÃO DE 2017) US</t>
  </si>
  <si>
    <t>VALOR DE MANUTENÇÃO E OPERAÇÃO                     (US$ / HAB. ANO)**</t>
  </si>
  <si>
    <t>INDICE DE CONSUMO DE ENERGIA ELETRICA NO SISTEMA PARA BOMBEAMENTO DE EFLUENTES                         (kWh/m³) *</t>
  </si>
  <si>
    <t>VALOR DE IMPLANTAÇÃO  (US$ / HAB.)**</t>
  </si>
  <si>
    <t>ÍNDICE DE CONSUMO DE ENERGIA ELETRICA NO SISTEMA PARA BOMBEAMENTO DE EFLUENTES                          (kWh/m³) *</t>
  </si>
  <si>
    <t>ÍNDICE DE CONSUMO DE  PRODUTOS QUIMICOS NO TRATAMENTO (%) *</t>
  </si>
  <si>
    <t>* Dados obtidos através do Sistema Nacional de Informações sobre Saneamento (SNIS) de 2015,Serie Histórica  de Itabirito</t>
  </si>
  <si>
    <t xml:space="preserve">**130/2,70 US$ = </t>
  </si>
  <si>
    <t xml:space="preserve">**13/2,70 US$ = </t>
  </si>
  <si>
    <t xml:space="preserve">**50/2,70 US$ = </t>
  </si>
  <si>
    <t xml:space="preserve">**3,5/2,70 US$ = </t>
  </si>
  <si>
    <t>Ref.  hab.( 2015) 42.225 = 2,43 (SNIS ) 2015</t>
  </si>
  <si>
    <t>x=  0,86</t>
  </si>
  <si>
    <t>x=  0, 78</t>
  </si>
  <si>
    <t>Ref. hab. (2015) 42.225 = 2,40 (SNIS) 2015</t>
  </si>
  <si>
    <t>***Dados de população obtidos no IBGE, considerando o ano de 2010 e a estimativa de crescimento populacional</t>
  </si>
  <si>
    <t>HABITANTES ***</t>
  </si>
  <si>
    <t>BASE DE CÁLCULO VON SPERLING- Quadro 4.15</t>
  </si>
  <si>
    <t>Ref. hab. (2015) 42.225 = 0,11 (SNIS) 2015</t>
  </si>
  <si>
    <t xml:space="preserve">      </t>
  </si>
  <si>
    <t>BASE DE CÁLCULO VON SPERLING - Quadro 4.15</t>
  </si>
  <si>
    <t>FN011 - Despesa com produtos químicos (R$/ano)</t>
  </si>
  <si>
    <t>IN038 - Participação da despesa com produtos químicos nas despesas de exploração (DEX) (percentual)</t>
  </si>
  <si>
    <t>IN047 - Índice de atendimento urbano de esgoto referido aos municípios atendidos com esgoto (percentual)</t>
  </si>
  <si>
    <t>1,48 x 50538</t>
  </si>
  <si>
    <t>18,52 x 50538</t>
  </si>
  <si>
    <t>1,3 x 50538</t>
  </si>
  <si>
    <t xml:space="preserve">     ( 50.538 x 0,721 )/ 42.225</t>
  </si>
  <si>
    <t>( 50.538x 0,648 )/ 42.225</t>
  </si>
  <si>
    <t xml:space="preserve"> hab.  Atual  50.538 = x</t>
  </si>
  <si>
    <t>hab.  Atual 50.538 = x</t>
  </si>
  <si>
    <t>( 50.538x 0,11 )/ 42.225</t>
  </si>
  <si>
    <t>x=  0, 13</t>
  </si>
  <si>
    <t>29,63 x 50538</t>
  </si>
  <si>
    <t>** Informações e valores dos índices: Quadro 4.15, Volume 1, PRINCÍPIOS DO TRATAMENTO BIOLÓGICO DAS ÁGUAS RESIDUÁRIAS - MARCOS VON SPERLING</t>
  </si>
  <si>
    <t xml:space="preserve">48,15 x 50538 (2017) </t>
  </si>
  <si>
    <t xml:space="preserve">4,81 x 50538 (2017) </t>
  </si>
  <si>
    <t>hab. (2017)  Atual 50.538 = x</t>
  </si>
  <si>
    <t xml:space="preserve"> hab. (2017) Atual  50.538 = x</t>
  </si>
  <si>
    <t>hab. (2017) Atual 50.538= x</t>
  </si>
  <si>
    <r>
      <t xml:space="preserve">** Informações e valores dos índices:  Volume 1, </t>
    </r>
    <r>
      <rPr>
        <i/>
        <sz val="11"/>
        <color theme="1"/>
        <rFont val="Calibri"/>
        <family val="2"/>
        <scheme val="minor"/>
      </rPr>
      <t>PRINCÍPIOS DO TRATAMENTO BIOLÓGICO DAS ÁGUAS RESIDUÁRIAS</t>
    </r>
    <r>
      <rPr>
        <sz val="11"/>
        <color theme="1"/>
        <rFont val="Calibri"/>
        <family val="2"/>
        <scheme val="minor"/>
      </rPr>
      <t xml:space="preserve"> - MARCOS VON SPERLING</t>
    </r>
  </si>
  <si>
    <t>VALOR TOTAL  DE  MANUTENÇÃO E OPERAÇÃO  ( POPULAÇÃO DE 2017) US</t>
  </si>
  <si>
    <t>VALOR TOTAL  DE  MANUTENÇÃO E OPERAÇÃO(POPULAÇÃO DE 2017) US</t>
  </si>
  <si>
    <t>VALOR TOTAL DE  MANUTENÇÃO E OPERAÇÃO ( POPULAÇÃO DE 2017)US</t>
  </si>
  <si>
    <t>CUSTO TOTAL COM MANUTENÇÃO E OPERAÇÃO                     (R$ / ANO)</t>
  </si>
  <si>
    <t>CUSTO TOTAL PARA IMPLANTAÇÃO DO SISTEMA NO FINAL DO PLANO</t>
  </si>
  <si>
    <t>CUSTO TOTAL DE  MANUTENÇÃO E OPERAÇÃO DO SISTEMA NO FINAL DO PLANO</t>
  </si>
  <si>
    <t>*** Dados de população obtidos no IBGE, considerando o ano de 2010 e a estimativa de crescimento populacional no método geométrico.</t>
  </si>
  <si>
    <r>
      <t xml:space="preserve">** Informações adaptadas do  Volume 1, </t>
    </r>
    <r>
      <rPr>
        <i/>
        <sz val="11"/>
        <color theme="1"/>
        <rFont val="Calibri"/>
        <family val="2"/>
        <scheme val="minor"/>
      </rPr>
      <t>PRINCÍPIOS DO TRATAMENTO BIOLÓGICO DAS ÁGUAS RESIDUÁRIAS</t>
    </r>
    <r>
      <rPr>
        <sz val="11"/>
        <color theme="1"/>
        <rFont val="Calibri"/>
        <family val="2"/>
        <scheme val="minor"/>
      </rPr>
      <t xml:space="preserve"> - MARCOS VON SPERLING</t>
    </r>
  </si>
  <si>
    <t>Lagoa</t>
  </si>
  <si>
    <t>ÍNDICE DE ATENDIMENTO (HAB)</t>
  </si>
  <si>
    <t>POPULAÇÃO ATENDIDA EM 2017 E INCREMENTO POPULACIONAL (HAB)</t>
  </si>
  <si>
    <t>Custo Implantação</t>
  </si>
  <si>
    <t>Custo Operação</t>
  </si>
  <si>
    <t>CUSTO DE IMPLANTAÇÃO EM 2017 E INCREMENTAL  (R$) **</t>
  </si>
  <si>
    <t>PROJEÇÃO POPULACIONAL (HAB)***</t>
  </si>
  <si>
    <t>Custo Área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</si>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</sst>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R$&quot;\ #,##0.00"/>
    <numFmt numFmtId="165" formatCode="0.000"/>
    <numFmt numFmtId="166" formatCode="_-[$$-409]* #,##0.00_ ;_-[$$-409]* \-#,##0.00\ ;_-[$$-409]* &quot;-&quot;??_ ;_-@_ "/>
    <numFmt numFmtId="167" formatCode="_-[$R$-416]* #,##0.00_-;\-[$R$-416]* #,##0.00_-;_-[$R$-416]* &quot;-&quot;??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i/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BDDBA9"/>
        <bgColor indexed="64"/>
      </patternFill>
    </fill>
    <fill>
      <patternFill patternType="solid">
        <fgColor theme="6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8"/>
      </right>
      <top/>
      <bottom style="dotted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92D050"/>
      </top>
      <bottom style="thin">
        <color rgb="FF00B050"/>
      </bottom>
      <diagonal/>
    </border>
    <border>
      <left/>
      <right/>
      <top/>
      <bottom style="thin">
        <color rgb="FF00B050"/>
      </bottom>
      <diagonal/>
    </border>
    <border>
      <left style="thin">
        <color rgb="FF92D050"/>
      </left>
      <right/>
      <top style="thin">
        <color rgb="FF92D050"/>
      </top>
      <bottom style="thin">
        <color rgb="FF00B050"/>
      </bottom>
      <diagonal/>
    </border>
    <border>
      <left/>
      <right style="thin">
        <color rgb="FF92D050"/>
      </right>
      <top style="thin">
        <color rgb="FF92D050"/>
      </top>
      <bottom style="thin">
        <color rgb="FF00B050"/>
      </bottom>
      <diagonal/>
    </border>
    <border>
      <left/>
      <right/>
      <top style="thin">
        <color rgb="FF00B050"/>
      </top>
      <bottom style="thin">
        <color rgb="FF00B050"/>
      </bottom>
      <diagonal/>
    </border>
    <border>
      <left/>
      <right/>
      <top style="thin">
        <color rgb="FF00B050"/>
      </top>
      <bottom/>
      <diagonal/>
    </border>
    <border>
      <left style="thin">
        <color rgb="FF00B050"/>
      </left>
      <right style="thin">
        <color rgb="FF00B050"/>
      </right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 style="thin">
        <color rgb="FF00B050"/>
      </top>
      <bottom style="thin">
        <color rgb="FF00B050"/>
      </bottom>
      <diagonal/>
    </border>
    <border>
      <left style="thin">
        <color rgb="FF00B050"/>
      </left>
      <right/>
      <top style="thin">
        <color rgb="FF00B050"/>
      </top>
      <bottom style="thin">
        <color rgb="FF00B050"/>
      </bottom>
      <diagonal/>
    </border>
    <border>
      <left/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 style="thin">
        <color rgb="FF00B050"/>
      </right>
      <top/>
      <bottom style="thin">
        <color rgb="FF00B050"/>
      </bottom>
      <diagonal/>
    </border>
    <border>
      <left style="thin">
        <color rgb="FF00B050"/>
      </left>
      <right/>
      <top/>
      <bottom style="thin">
        <color rgb="FF00B050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3" fontId="0" fillId="0" borderId="3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0" fillId="0" borderId="10" xfId="0" applyNumberFormat="1" applyBorder="1" applyAlignment="1">
      <alignment horizontal="center" vertical="center"/>
    </xf>
    <xf numFmtId="0" fontId="0" fillId="0" borderId="10" xfId="0" quotePrefix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quotePrefix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/>
    <xf numFmtId="0" fontId="1" fillId="2" borderId="14" xfId="0" applyFont="1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3" fontId="0" fillId="0" borderId="17" xfId="0" applyNumberFormat="1" applyBorder="1" applyAlignment="1">
      <alignment horizontal="center" vertical="center"/>
    </xf>
    <xf numFmtId="1" fontId="0" fillId="0" borderId="17" xfId="0" applyNumberFormat="1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 wrapText="1"/>
    </xf>
    <xf numFmtId="0" fontId="1" fillId="4" borderId="7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3" fontId="1" fillId="4" borderId="4" xfId="0" applyNumberFormat="1" applyFont="1" applyFill="1" applyBorder="1" applyAlignment="1">
      <alignment horizontal="center" vertical="center"/>
    </xf>
    <xf numFmtId="164" fontId="1" fillId="4" borderId="5" xfId="0" applyNumberFormat="1" applyFont="1" applyFill="1" applyBorder="1" applyAlignment="1">
      <alignment horizontal="center" vertical="center"/>
    </xf>
    <xf numFmtId="0" fontId="0" fillId="5" borderId="0" xfId="0" applyFill="1" applyBorder="1"/>
    <xf numFmtId="0" fontId="0" fillId="5" borderId="21" xfId="0" applyFill="1" applyBorder="1"/>
    <xf numFmtId="0" fontId="0" fillId="5" borderId="22" xfId="0" applyFill="1" applyBorder="1" applyAlignment="1">
      <alignment horizontal="right" vertical="center"/>
    </xf>
    <xf numFmtId="0" fontId="0" fillId="5" borderId="23" xfId="0" applyFill="1" applyBorder="1"/>
    <xf numFmtId="0" fontId="0" fillId="5" borderId="24" xfId="0" applyFill="1" applyBorder="1"/>
    <xf numFmtId="0" fontId="0" fillId="5" borderId="25" xfId="0" applyFill="1" applyBorder="1"/>
    <xf numFmtId="0" fontId="0" fillId="5" borderId="26" xfId="0" applyFill="1" applyBorder="1"/>
    <xf numFmtId="0" fontId="0" fillId="5" borderId="27" xfId="0" applyFill="1" applyBorder="1"/>
    <xf numFmtId="0" fontId="0" fillId="4" borderId="17" xfId="0" applyFill="1" applyBorder="1" applyAlignment="1">
      <alignment horizontal="center" vertical="center" wrapText="1"/>
    </xf>
    <xf numFmtId="0" fontId="0" fillId="0" borderId="31" xfId="0" applyBorder="1"/>
    <xf numFmtId="0" fontId="0" fillId="6" borderId="3" xfId="0" applyFill="1" applyBorder="1" applyAlignment="1">
      <alignment horizontal="center" wrapText="1"/>
    </xf>
    <xf numFmtId="0" fontId="0" fillId="6" borderId="3" xfId="0" applyFill="1" applyBorder="1"/>
    <xf numFmtId="0" fontId="0" fillId="0" borderId="17" xfId="0" applyBorder="1"/>
    <xf numFmtId="0" fontId="0" fillId="0" borderId="32" xfId="0" applyBorder="1"/>
    <xf numFmtId="0" fontId="0" fillId="6" borderId="31" xfId="0" applyFill="1" applyBorder="1" applyAlignment="1">
      <alignment wrapText="1"/>
    </xf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0" fontId="0" fillId="0" borderId="30" xfId="0" applyBorder="1"/>
    <xf numFmtId="0" fontId="0" fillId="0" borderId="3" xfId="0" applyBorder="1"/>
    <xf numFmtId="2" fontId="0" fillId="0" borderId="10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0" fontId="0" fillId="0" borderId="0" xfId="0" applyBorder="1"/>
    <xf numFmtId="0" fontId="0" fillId="0" borderId="0" xfId="0" applyFill="1" applyBorder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Fill="1" applyBorder="1" applyAlignment="1">
      <alignment horizontal="center"/>
    </xf>
    <xf numFmtId="0" fontId="2" fillId="0" borderId="0" xfId="0" applyFont="1" applyFill="1" applyBorder="1"/>
    <xf numFmtId="0" fontId="3" fillId="0" borderId="29" xfId="0" applyFont="1" applyFill="1" applyBorder="1" applyAlignment="1" applyProtection="1">
      <alignment horizontal="center" vertical="center" wrapText="1"/>
    </xf>
    <xf numFmtId="2" fontId="0" fillId="0" borderId="0" xfId="0" applyNumberFormat="1"/>
    <xf numFmtId="0" fontId="0" fillId="3" borderId="34" xfId="0" applyFill="1" applyBorder="1" applyAlignment="1">
      <alignment horizontal="center" vertical="center"/>
    </xf>
    <xf numFmtId="2" fontId="0" fillId="3" borderId="34" xfId="0" applyNumberFormat="1" applyFill="1" applyBorder="1" applyAlignment="1">
      <alignment horizontal="center" vertical="center"/>
    </xf>
    <xf numFmtId="0" fontId="0" fillId="0" borderId="35" xfId="0" applyBorder="1"/>
    <xf numFmtId="0" fontId="0" fillId="0" borderId="33" xfId="0" applyBorder="1"/>
    <xf numFmtId="0" fontId="0" fillId="0" borderId="36" xfId="0" applyBorder="1"/>
    <xf numFmtId="0" fontId="1" fillId="4" borderId="34" xfId="0" applyFont="1" applyFill="1" applyBorder="1" applyAlignment="1">
      <alignment horizontal="center" vertical="center" wrapText="1"/>
    </xf>
    <xf numFmtId="0" fontId="0" fillId="3" borderId="0" xfId="0" applyFill="1" applyBorder="1"/>
    <xf numFmtId="2" fontId="0" fillId="3" borderId="0" xfId="0" applyNumberFormat="1" applyFill="1" applyBorder="1" applyAlignment="1">
      <alignment horizontal="center" vertical="center"/>
    </xf>
    <xf numFmtId="2" fontId="0" fillId="3" borderId="34" xfId="0" applyNumberFormat="1" applyFill="1" applyBorder="1" applyAlignment="1">
      <alignment horizontal="center"/>
    </xf>
    <xf numFmtId="0" fontId="0" fillId="3" borderId="37" xfId="0" applyFill="1" applyBorder="1" applyAlignment="1">
      <alignment horizontal="center" vertical="center"/>
    </xf>
    <xf numFmtId="2" fontId="0" fillId="3" borderId="37" xfId="0" applyNumberFormat="1" applyFill="1" applyBorder="1" applyAlignment="1">
      <alignment horizontal="center"/>
    </xf>
    <xf numFmtId="2" fontId="0" fillId="3" borderId="37" xfId="0" applyNumberFormat="1" applyFill="1" applyBorder="1" applyAlignment="1">
      <alignment horizontal="center" vertical="center"/>
    </xf>
    <xf numFmtId="0" fontId="0" fillId="3" borderId="37" xfId="0" applyFill="1" applyBorder="1"/>
    <xf numFmtId="0" fontId="1" fillId="4" borderId="38" xfId="0" applyFont="1" applyFill="1" applyBorder="1" applyAlignment="1">
      <alignment vertical="center" wrapText="1"/>
    </xf>
    <xf numFmtId="166" fontId="1" fillId="3" borderId="37" xfId="0" applyNumberFormat="1" applyFont="1" applyFill="1" applyBorder="1" applyAlignment="1">
      <alignment horizontal="left"/>
    </xf>
    <xf numFmtId="165" fontId="1" fillId="3" borderId="0" xfId="0" applyNumberFormat="1" applyFont="1" applyFill="1" applyBorder="1"/>
    <xf numFmtId="166" fontId="1" fillId="3" borderId="34" xfId="0" applyNumberFormat="1" applyFont="1" applyFill="1" applyBorder="1" applyAlignment="1">
      <alignment horizontal="left"/>
    </xf>
    <xf numFmtId="0" fontId="0" fillId="3" borderId="38" xfId="0" applyFill="1" applyBorder="1"/>
    <xf numFmtId="0" fontId="0" fillId="3" borderId="34" xfId="0" applyFill="1" applyBorder="1"/>
    <xf numFmtId="165" fontId="0" fillId="3" borderId="37" xfId="0" applyNumberFormat="1" applyFill="1" applyBorder="1" applyAlignment="1">
      <alignment horizontal="center" vertical="center"/>
    </xf>
    <xf numFmtId="165" fontId="0" fillId="3" borderId="37" xfId="0" applyNumberFormat="1" applyFill="1" applyBorder="1" applyAlignment="1">
      <alignment horizontal="center"/>
    </xf>
    <xf numFmtId="0" fontId="0" fillId="3" borderId="37" xfId="0" applyFill="1" applyBorder="1" applyAlignment="1">
      <alignment horizontal="left"/>
    </xf>
    <xf numFmtId="2" fontId="0" fillId="3" borderId="37" xfId="0" applyNumberFormat="1" applyFill="1" applyBorder="1" applyAlignment="1">
      <alignment horizontal="left"/>
    </xf>
    <xf numFmtId="2" fontId="1" fillId="3" borderId="37" xfId="0" applyNumberFormat="1" applyFont="1" applyFill="1" applyBorder="1" applyAlignment="1">
      <alignment horizontal="left"/>
    </xf>
    <xf numFmtId="0" fontId="1" fillId="3" borderId="38" xfId="0" applyFont="1" applyFill="1" applyBorder="1"/>
    <xf numFmtId="2" fontId="1" fillId="3" borderId="38" xfId="0" applyNumberFormat="1" applyFont="1" applyFill="1" applyBorder="1" applyAlignment="1">
      <alignment horizontal="left"/>
    </xf>
    <xf numFmtId="0" fontId="1" fillId="3" borderId="38" xfId="0" applyFont="1" applyFill="1" applyBorder="1" applyAlignment="1">
      <alignment horizontal="right"/>
    </xf>
    <xf numFmtId="0" fontId="1" fillId="3" borderId="37" xfId="0" applyFont="1" applyFill="1" applyBorder="1" applyAlignment="1">
      <alignment horizontal="right"/>
    </xf>
    <xf numFmtId="0" fontId="0" fillId="3" borderId="37" xfId="0" applyFill="1" applyBorder="1" applyAlignment="1">
      <alignment vertical="top"/>
    </xf>
    <xf numFmtId="0" fontId="1" fillId="3" borderId="37" xfId="0" applyFont="1" applyFill="1" applyBorder="1" applyAlignment="1">
      <alignment vertical="top"/>
    </xf>
    <xf numFmtId="0" fontId="1" fillId="3" borderId="37" xfId="0" applyFont="1" applyFill="1" applyBorder="1" applyAlignment="1">
      <alignment horizontal="right" vertical="top"/>
    </xf>
    <xf numFmtId="2" fontId="1" fillId="3" borderId="37" xfId="0" applyNumberFormat="1" applyFont="1" applyFill="1" applyBorder="1" applyAlignment="1">
      <alignment horizontal="left" vertical="top"/>
    </xf>
    <xf numFmtId="0" fontId="1" fillId="7" borderId="34" xfId="0" applyFont="1" applyFill="1" applyBorder="1" applyAlignment="1">
      <alignment horizontal="center" vertical="center" wrapText="1"/>
    </xf>
    <xf numFmtId="4" fontId="0" fillId="0" borderId="0" xfId="0" applyNumberFormat="1"/>
    <xf numFmtId="0" fontId="5" fillId="0" borderId="37" xfId="0" applyFont="1" applyFill="1" applyBorder="1" applyAlignment="1">
      <alignment horizontal="center" vertical="center"/>
    </xf>
    <xf numFmtId="0" fontId="6" fillId="0" borderId="37" xfId="0" applyFont="1" applyBorder="1" applyAlignment="1">
      <alignment horizontal="center" vertical="center"/>
    </xf>
    <xf numFmtId="166" fontId="0" fillId="0" borderId="0" xfId="0" applyNumberFormat="1"/>
    <xf numFmtId="167" fontId="1" fillId="3" borderId="34" xfId="0" applyNumberFormat="1" applyFont="1" applyFill="1" applyBorder="1" applyAlignment="1">
      <alignment horizontal="left"/>
    </xf>
    <xf numFmtId="4" fontId="5" fillId="0" borderId="37" xfId="0" applyNumberFormat="1" applyFont="1" applyFill="1" applyBorder="1" applyAlignment="1">
      <alignment horizontal="center" vertical="center"/>
    </xf>
    <xf numFmtId="4" fontId="0" fillId="3" borderId="37" xfId="0" applyNumberFormat="1" applyFill="1" applyBorder="1" applyAlignment="1">
      <alignment horizontal="center"/>
    </xf>
    <xf numFmtId="4" fontId="0" fillId="3" borderId="37" xfId="0" applyNumberFormat="1" applyFill="1" applyBorder="1" applyAlignment="1">
      <alignment horizontal="center" vertical="center"/>
    </xf>
    <xf numFmtId="0" fontId="0" fillId="4" borderId="37" xfId="0" applyFill="1" applyBorder="1" applyAlignment="1">
      <alignment horizontal="center"/>
    </xf>
    <xf numFmtId="0" fontId="0" fillId="4" borderId="38" xfId="0" applyFill="1" applyBorder="1" applyAlignment="1">
      <alignment horizontal="center"/>
    </xf>
    <xf numFmtId="167" fontId="7" fillId="3" borderId="34" xfId="0" applyNumberFormat="1" applyFont="1" applyFill="1" applyBorder="1" applyAlignment="1">
      <alignment horizontal="left"/>
    </xf>
    <xf numFmtId="4" fontId="0" fillId="0" borderId="3" xfId="0" applyNumberFormat="1" applyBorder="1"/>
    <xf numFmtId="3" fontId="5" fillId="0" borderId="37" xfId="0" applyNumberFormat="1" applyFont="1" applyFill="1" applyBorder="1" applyAlignment="1">
      <alignment horizontal="center" vertical="center"/>
    </xf>
    <xf numFmtId="165" fontId="0" fillId="0" borderId="0" xfId="0" applyNumberFormat="1"/>
    <xf numFmtId="0" fontId="1" fillId="4" borderId="1" xfId="0" applyFont="1" applyFill="1" applyBorder="1" applyAlignment="1">
      <alignment horizontal="left" vertical="center"/>
    </xf>
    <xf numFmtId="0" fontId="0" fillId="4" borderId="2" xfId="0" applyFill="1" applyBorder="1" applyAlignment="1">
      <alignment horizontal="left" vertical="center"/>
    </xf>
    <xf numFmtId="0" fontId="0" fillId="4" borderId="20" xfId="0" applyFill="1" applyBorder="1" applyAlignment="1">
      <alignment horizontal="left" vertical="center"/>
    </xf>
    <xf numFmtId="0" fontId="0" fillId="5" borderId="21" xfId="0" applyFill="1" applyBorder="1" applyAlignment="1">
      <alignment horizontal="left"/>
    </xf>
    <xf numFmtId="0" fontId="0" fillId="5" borderId="28" xfId="0" applyFill="1" applyBorder="1" applyAlignment="1">
      <alignment horizontal="left"/>
    </xf>
    <xf numFmtId="0" fontId="1" fillId="4" borderId="37" xfId="0" applyFont="1" applyFill="1" applyBorder="1" applyAlignment="1">
      <alignment horizontal="center" vertical="center"/>
    </xf>
    <xf numFmtId="0" fontId="0" fillId="8" borderId="38" xfId="0" applyFill="1" applyBorder="1" applyAlignment="1">
      <alignment horizontal="center" wrapText="1"/>
    </xf>
    <xf numFmtId="0" fontId="1" fillId="3" borderId="40" xfId="0" applyFont="1" applyFill="1" applyBorder="1" applyAlignment="1">
      <alignment horizontal="right"/>
    </xf>
    <xf numFmtId="0" fontId="1" fillId="3" borderId="39" xfId="0" applyFont="1" applyFill="1" applyBorder="1" applyAlignment="1">
      <alignment horizontal="right"/>
    </xf>
    <xf numFmtId="0" fontId="1" fillId="3" borderId="41" xfId="0" applyFont="1" applyFill="1" applyBorder="1" applyAlignment="1">
      <alignment horizontal="right"/>
    </xf>
    <xf numFmtId="0" fontId="1" fillId="0" borderId="40" xfId="0" applyFont="1" applyBorder="1" applyAlignment="1">
      <alignment horizontal="right"/>
    </xf>
    <xf numFmtId="0" fontId="1" fillId="0" borderId="39" xfId="0" applyFont="1" applyBorder="1" applyAlignment="1">
      <alignment horizontal="right"/>
    </xf>
    <xf numFmtId="0" fontId="1" fillId="0" borderId="41" xfId="0" applyFont="1" applyBorder="1" applyAlignment="1">
      <alignment horizontal="right"/>
    </xf>
    <xf numFmtId="0" fontId="0" fillId="5" borderId="40" xfId="0" applyFill="1" applyBorder="1" applyAlignment="1">
      <alignment horizontal="left" wrapText="1"/>
    </xf>
    <xf numFmtId="0" fontId="0" fillId="5" borderId="39" xfId="0" applyFill="1" applyBorder="1" applyAlignment="1">
      <alignment horizontal="left" wrapText="1"/>
    </xf>
    <xf numFmtId="0" fontId="0" fillId="5" borderId="41" xfId="0" applyFill="1" applyBorder="1" applyAlignment="1">
      <alignment horizontal="left" wrapText="1"/>
    </xf>
    <xf numFmtId="0" fontId="0" fillId="5" borderId="40" xfId="0" applyFill="1" applyBorder="1" applyAlignment="1">
      <alignment horizontal="center" wrapText="1"/>
    </xf>
    <xf numFmtId="0" fontId="0" fillId="5" borderId="39" xfId="0" applyFill="1" applyBorder="1" applyAlignment="1">
      <alignment horizontal="center" wrapText="1"/>
    </xf>
    <xf numFmtId="0" fontId="0" fillId="5" borderId="41" xfId="0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0" fillId="4" borderId="37" xfId="0" applyFill="1" applyBorder="1" applyAlignment="1">
      <alignment horizontal="center"/>
    </xf>
    <xf numFmtId="0" fontId="0" fillId="3" borderId="37" xfId="0" applyFill="1" applyBorder="1" applyAlignment="1">
      <alignment horizontal="left"/>
    </xf>
    <xf numFmtId="0" fontId="0" fillId="4" borderId="37" xfId="0" applyFill="1" applyBorder="1" applyAlignment="1">
      <alignment horizontal="center" vertical="top"/>
    </xf>
    <xf numFmtId="0" fontId="1" fillId="4" borderId="38" xfId="0" applyFont="1" applyFill="1" applyBorder="1" applyAlignment="1">
      <alignment horizontal="center" vertical="center"/>
    </xf>
    <xf numFmtId="0" fontId="1" fillId="4" borderId="34" xfId="0" applyFont="1" applyFill="1" applyBorder="1" applyAlignment="1">
      <alignment horizontal="center" vertical="center"/>
    </xf>
    <xf numFmtId="0" fontId="1" fillId="4" borderId="38" xfId="0" applyFont="1" applyFill="1" applyBorder="1" applyAlignment="1">
      <alignment horizontal="center" vertical="center" wrapText="1"/>
    </xf>
    <xf numFmtId="0" fontId="1" fillId="4" borderId="34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8" xfId="0" applyBorder="1" applyAlignment="1">
      <alignment horizontal="center" wrapText="1"/>
    </xf>
    <xf numFmtId="0" fontId="1" fillId="3" borderId="0" xfId="0" applyFont="1" applyFill="1" applyBorder="1" applyAlignment="1">
      <alignment horizontal="left"/>
    </xf>
    <xf numFmtId="0" fontId="0" fillId="3" borderId="0" xfId="0" applyFill="1" applyBorder="1" applyAlignment="1">
      <alignment horizontal="left"/>
    </xf>
    <xf numFmtId="0" fontId="0" fillId="4" borderId="9" xfId="0" applyFill="1" applyBorder="1" applyAlignment="1">
      <alignment horizontal="center" vertical="center"/>
    </xf>
    <xf numFmtId="0" fontId="0" fillId="4" borderId="16" xfId="0" applyFill="1" applyBorder="1" applyAlignment="1">
      <alignment horizontal="center" vertical="center"/>
    </xf>
    <xf numFmtId="0" fontId="0" fillId="4" borderId="10" xfId="0" applyFill="1" applyBorder="1" applyAlignment="1">
      <alignment horizontal="center" vertical="center"/>
    </xf>
    <xf numFmtId="0" fontId="0" fillId="6" borderId="30" xfId="0" applyFill="1" applyBorder="1" applyAlignment="1">
      <alignment horizontal="center"/>
    </xf>
    <xf numFmtId="0" fontId="0" fillId="6" borderId="19" xfId="0" applyFill="1" applyBorder="1" applyAlignment="1">
      <alignment horizontal="center"/>
    </xf>
    <xf numFmtId="0" fontId="0" fillId="6" borderId="31" xfId="0" applyFill="1" applyBorder="1" applyAlignment="1">
      <alignment horizontal="center"/>
    </xf>
    <xf numFmtId="0" fontId="1" fillId="4" borderId="37" xfId="0" applyFont="1" applyFill="1" applyBorder="1" applyAlignment="1">
      <alignment horizontal="center"/>
    </xf>
    <xf numFmtId="0" fontId="0" fillId="0" borderId="0" xfId="0" applyAlignment="1">
      <alignment horizontal="center" wrapText="1"/>
    </xf>
    <xf numFmtId="0" fontId="1" fillId="3" borderId="42" xfId="0" applyFont="1" applyFill="1" applyBorder="1" applyAlignment="1">
      <alignment horizontal="right"/>
    </xf>
    <xf numFmtId="0" fontId="1" fillId="3" borderId="43" xfId="0" applyFont="1" applyFill="1" applyBorder="1" applyAlignment="1">
      <alignment horizontal="right"/>
    </xf>
    <xf numFmtId="0" fontId="1" fillId="3" borderId="44" xfId="0" applyFont="1" applyFill="1" applyBorder="1" applyAlignment="1">
      <alignment horizontal="right"/>
    </xf>
    <xf numFmtId="0" fontId="0" fillId="4" borderId="38" xfId="0" applyFill="1" applyBorder="1" applyAlignment="1">
      <alignment horizontal="center"/>
    </xf>
    <xf numFmtId="0" fontId="0" fillId="8" borderId="0" xfId="0" applyFill="1" applyAlignment="1">
      <alignment horizontal="center" wrapText="1"/>
    </xf>
    <xf numFmtId="0" fontId="1" fillId="3" borderId="37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DDBA9"/>
      <color rgb="FFAED39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29"/>
  <sheetViews>
    <sheetView workbookViewId="0">
      <selection activeCell="D17" sqref="D17"/>
    </sheetView>
  </sheetViews>
  <sheetFormatPr defaultRowHeight="15" x14ac:dyDescent="0.25"/>
  <cols>
    <col min="1" max="1" width="0.42578125" customWidth="1"/>
    <col min="3" max="3" width="13.5703125" bestFit="1" customWidth="1"/>
    <col min="4" max="4" width="13.140625" customWidth="1"/>
    <col min="5" max="5" width="10.7109375" customWidth="1"/>
    <col min="6" max="6" width="14.42578125" bestFit="1" customWidth="1"/>
    <col min="7" max="7" width="13.42578125" customWidth="1"/>
  </cols>
  <sheetData>
    <row r="1" spans="2:9" ht="2.25" customHeight="1" thickBot="1" x14ac:dyDescent="0.3"/>
    <row r="2" spans="2:9" ht="45.75" customHeight="1" thickBot="1" x14ac:dyDescent="0.3">
      <c r="B2" s="19" t="s">
        <v>0</v>
      </c>
      <c r="C2" s="20" t="s">
        <v>4</v>
      </c>
      <c r="D2" s="20" t="s">
        <v>1</v>
      </c>
      <c r="E2" s="20" t="s">
        <v>2</v>
      </c>
      <c r="F2" s="21" t="s">
        <v>3</v>
      </c>
      <c r="H2" s="2"/>
      <c r="I2" s="2"/>
    </row>
    <row r="3" spans="2:9" x14ac:dyDescent="0.25">
      <c r="B3" s="6">
        <v>2017</v>
      </c>
      <c r="C3" s="7">
        <v>50240</v>
      </c>
      <c r="D3" s="8" t="s">
        <v>5</v>
      </c>
      <c r="E3" s="8" t="s">
        <v>5</v>
      </c>
      <c r="F3" s="10" t="s">
        <v>5</v>
      </c>
    </row>
    <row r="4" spans="2:9" x14ac:dyDescent="0.25">
      <c r="B4" s="9">
        <v>2018</v>
      </c>
      <c r="C4" s="4">
        <v>51298</v>
      </c>
      <c r="D4" s="4">
        <f>C4-C3</f>
        <v>1058</v>
      </c>
      <c r="E4" s="5">
        <f>D4/$B$26</f>
        <v>309.35672514619881</v>
      </c>
      <c r="F4" s="18">
        <f>C4*$B$29</f>
        <v>62070.58</v>
      </c>
    </row>
    <row r="5" spans="2:9" x14ac:dyDescent="0.25">
      <c r="B5" s="9">
        <v>2019</v>
      </c>
      <c r="C5" s="4">
        <v>52379</v>
      </c>
      <c r="D5" s="4">
        <f t="shared" ref="D5:D23" si="0">C5-C4</f>
        <v>1081</v>
      </c>
      <c r="E5" s="5">
        <f t="shared" ref="E5:E23" si="1">D5/$B$26</f>
        <v>316.08187134502924</v>
      </c>
      <c r="F5" s="18">
        <f t="shared" ref="F5:F23" si="2">C5*$B$29</f>
        <v>63378.59</v>
      </c>
      <c r="H5">
        <f>C4/4</f>
        <v>12824.5</v>
      </c>
    </row>
    <row r="6" spans="2:9" x14ac:dyDescent="0.25">
      <c r="B6" s="9">
        <v>2020</v>
      </c>
      <c r="C6" s="4">
        <v>53483</v>
      </c>
      <c r="D6" s="4">
        <f t="shared" si="0"/>
        <v>1104</v>
      </c>
      <c r="E6" s="5">
        <f t="shared" si="1"/>
        <v>322.80701754385967</v>
      </c>
      <c r="F6" s="18">
        <f t="shared" si="2"/>
        <v>64714.43</v>
      </c>
    </row>
    <row r="7" spans="2:9" x14ac:dyDescent="0.25">
      <c r="B7" s="9">
        <v>2021</v>
      </c>
      <c r="C7" s="4">
        <v>54610</v>
      </c>
      <c r="D7" s="4">
        <f t="shared" si="0"/>
        <v>1127</v>
      </c>
      <c r="E7" s="5">
        <f t="shared" si="1"/>
        <v>329.53216374269005</v>
      </c>
      <c r="F7" s="18">
        <f t="shared" si="2"/>
        <v>66078.099999999991</v>
      </c>
    </row>
    <row r="8" spans="2:9" x14ac:dyDescent="0.25">
      <c r="B8" s="9">
        <v>2022</v>
      </c>
      <c r="C8" s="4">
        <v>55761</v>
      </c>
      <c r="D8" s="4">
        <f t="shared" si="0"/>
        <v>1151</v>
      </c>
      <c r="E8" s="5">
        <f t="shared" si="1"/>
        <v>336.5497076023392</v>
      </c>
      <c r="F8" s="18">
        <f t="shared" si="2"/>
        <v>67470.81</v>
      </c>
    </row>
    <row r="9" spans="2:9" x14ac:dyDescent="0.25">
      <c r="B9" s="9">
        <v>2023</v>
      </c>
      <c r="C9" s="4">
        <v>56936</v>
      </c>
      <c r="D9" s="4">
        <f t="shared" si="0"/>
        <v>1175</v>
      </c>
      <c r="E9" s="5">
        <f t="shared" si="1"/>
        <v>343.56725146198829</v>
      </c>
      <c r="F9" s="18">
        <f t="shared" si="2"/>
        <v>68892.56</v>
      </c>
    </row>
    <row r="10" spans="2:9" x14ac:dyDescent="0.25">
      <c r="B10" s="9">
        <v>2024</v>
      </c>
      <c r="C10" s="4">
        <v>58135</v>
      </c>
      <c r="D10" s="4">
        <f t="shared" si="0"/>
        <v>1199</v>
      </c>
      <c r="E10" s="5">
        <f t="shared" si="1"/>
        <v>350.58479532163744</v>
      </c>
      <c r="F10" s="18">
        <f t="shared" si="2"/>
        <v>70343.349999999991</v>
      </c>
    </row>
    <row r="11" spans="2:9" x14ac:dyDescent="0.25">
      <c r="B11" s="9">
        <v>2025</v>
      </c>
      <c r="C11" s="4">
        <v>59360</v>
      </c>
      <c r="D11" s="4">
        <f t="shared" si="0"/>
        <v>1225</v>
      </c>
      <c r="E11" s="5">
        <f t="shared" si="1"/>
        <v>358.18713450292398</v>
      </c>
      <c r="F11" s="18">
        <f t="shared" si="2"/>
        <v>71825.599999999991</v>
      </c>
    </row>
    <row r="12" spans="2:9" x14ac:dyDescent="0.25">
      <c r="B12" s="9">
        <v>2026</v>
      </c>
      <c r="C12" s="4">
        <v>60611</v>
      </c>
      <c r="D12" s="4">
        <f t="shared" si="0"/>
        <v>1251</v>
      </c>
      <c r="E12" s="5">
        <f t="shared" si="1"/>
        <v>365.78947368421052</v>
      </c>
      <c r="F12" s="18">
        <f t="shared" si="2"/>
        <v>73339.31</v>
      </c>
    </row>
    <row r="13" spans="2:9" x14ac:dyDescent="0.25">
      <c r="B13" s="9">
        <v>2027</v>
      </c>
      <c r="C13" s="4">
        <v>61888</v>
      </c>
      <c r="D13" s="4">
        <f t="shared" si="0"/>
        <v>1277</v>
      </c>
      <c r="E13" s="5">
        <f t="shared" si="1"/>
        <v>373.39181286549706</v>
      </c>
      <c r="F13" s="18">
        <f t="shared" si="2"/>
        <v>74884.479999999996</v>
      </c>
    </row>
    <row r="14" spans="2:9" x14ac:dyDescent="0.25">
      <c r="B14" s="9">
        <v>2028</v>
      </c>
      <c r="C14" s="4">
        <v>63192</v>
      </c>
      <c r="D14" s="4">
        <f t="shared" si="0"/>
        <v>1304</v>
      </c>
      <c r="E14" s="5">
        <f t="shared" si="1"/>
        <v>381.28654970760232</v>
      </c>
      <c r="F14" s="18">
        <f t="shared" si="2"/>
        <v>76462.319999999992</v>
      </c>
    </row>
    <row r="15" spans="2:9" x14ac:dyDescent="0.25">
      <c r="B15" s="9">
        <v>2029</v>
      </c>
      <c r="C15" s="4">
        <v>64524</v>
      </c>
      <c r="D15" s="4">
        <f t="shared" si="0"/>
        <v>1332</v>
      </c>
      <c r="E15" s="5">
        <f t="shared" si="1"/>
        <v>389.4736842105263</v>
      </c>
      <c r="F15" s="18">
        <f t="shared" si="2"/>
        <v>78074.039999999994</v>
      </c>
    </row>
    <row r="16" spans="2:9" x14ac:dyDescent="0.25">
      <c r="B16" s="9">
        <v>2030</v>
      </c>
      <c r="C16" s="4">
        <v>65883</v>
      </c>
      <c r="D16" s="4">
        <f t="shared" si="0"/>
        <v>1359</v>
      </c>
      <c r="E16" s="5">
        <f t="shared" si="1"/>
        <v>397.36842105263156</v>
      </c>
      <c r="F16" s="18">
        <f t="shared" si="2"/>
        <v>79718.429999999993</v>
      </c>
    </row>
    <row r="17" spans="2:7" x14ac:dyDescent="0.25">
      <c r="B17" s="9">
        <v>2031</v>
      </c>
      <c r="C17" s="4">
        <v>67271</v>
      </c>
      <c r="D17" s="4">
        <f t="shared" si="0"/>
        <v>1388</v>
      </c>
      <c r="E17" s="5">
        <f t="shared" si="1"/>
        <v>405.84795321637426</v>
      </c>
      <c r="F17" s="18">
        <f t="shared" si="2"/>
        <v>81397.91</v>
      </c>
    </row>
    <row r="18" spans="2:7" x14ac:dyDescent="0.25">
      <c r="B18" s="9">
        <v>2032</v>
      </c>
      <c r="C18" s="4">
        <v>68689</v>
      </c>
      <c r="D18" s="4">
        <f t="shared" si="0"/>
        <v>1418</v>
      </c>
      <c r="E18" s="5">
        <f t="shared" si="1"/>
        <v>414.61988304093569</v>
      </c>
      <c r="F18" s="18">
        <f t="shared" si="2"/>
        <v>83113.69</v>
      </c>
    </row>
    <row r="19" spans="2:7" x14ac:dyDescent="0.25">
      <c r="B19" s="9">
        <v>2033</v>
      </c>
      <c r="C19" s="4">
        <v>70136</v>
      </c>
      <c r="D19" s="4">
        <f t="shared" si="0"/>
        <v>1447</v>
      </c>
      <c r="E19" s="5">
        <f t="shared" si="1"/>
        <v>423.09941520467839</v>
      </c>
      <c r="F19" s="18">
        <f t="shared" si="2"/>
        <v>84864.56</v>
      </c>
    </row>
    <row r="20" spans="2:7" x14ac:dyDescent="0.25">
      <c r="B20" s="9">
        <v>2034</v>
      </c>
      <c r="C20" s="4">
        <v>71614</v>
      </c>
      <c r="D20" s="4">
        <f t="shared" si="0"/>
        <v>1478</v>
      </c>
      <c r="E20" s="5">
        <f t="shared" si="1"/>
        <v>432.16374269005848</v>
      </c>
      <c r="F20" s="18">
        <f t="shared" si="2"/>
        <v>86652.94</v>
      </c>
    </row>
    <row r="21" spans="2:7" x14ac:dyDescent="0.25">
      <c r="B21" s="9">
        <v>2035</v>
      </c>
      <c r="C21" s="4">
        <v>73123</v>
      </c>
      <c r="D21" s="4">
        <f t="shared" si="0"/>
        <v>1509</v>
      </c>
      <c r="E21" s="5">
        <f t="shared" si="1"/>
        <v>441.22807017543863</v>
      </c>
      <c r="F21" s="18">
        <f t="shared" si="2"/>
        <v>88478.83</v>
      </c>
    </row>
    <row r="22" spans="2:7" x14ac:dyDescent="0.25">
      <c r="B22" s="9">
        <v>2036</v>
      </c>
      <c r="C22" s="4">
        <v>74664</v>
      </c>
      <c r="D22" s="4">
        <f t="shared" si="0"/>
        <v>1541</v>
      </c>
      <c r="E22" s="5">
        <f t="shared" si="1"/>
        <v>450.58479532163744</v>
      </c>
      <c r="F22" s="18">
        <f t="shared" si="2"/>
        <v>90343.44</v>
      </c>
    </row>
    <row r="23" spans="2:7" ht="15.75" thickBot="1" x14ac:dyDescent="0.3">
      <c r="B23" s="12">
        <v>2037</v>
      </c>
      <c r="C23" s="16">
        <v>76237</v>
      </c>
      <c r="D23" s="16">
        <f t="shared" si="0"/>
        <v>1573</v>
      </c>
      <c r="E23" s="17">
        <f t="shared" si="1"/>
        <v>459.94152046783626</v>
      </c>
      <c r="F23" s="18">
        <f t="shared" si="2"/>
        <v>92246.77</v>
      </c>
    </row>
    <row r="24" spans="2:7" ht="15.75" thickBot="1" x14ac:dyDescent="0.3">
      <c r="B24" s="103" t="s">
        <v>10</v>
      </c>
      <c r="C24" s="104"/>
      <c r="D24" s="105"/>
      <c r="E24" s="22">
        <f>SUM(E4:E23)</f>
        <v>7601.4619883040941</v>
      </c>
      <c r="F24" s="23">
        <f>SUM(F4:F23)</f>
        <v>1524350.7400000002</v>
      </c>
    </row>
    <row r="26" spans="2:7" x14ac:dyDescent="0.25">
      <c r="B26" s="26">
        <v>3.42</v>
      </c>
      <c r="C26" s="27" t="s">
        <v>6</v>
      </c>
      <c r="D26" s="27"/>
      <c r="E26" s="27"/>
      <c r="F26" s="27"/>
      <c r="G26" s="28"/>
    </row>
    <row r="27" spans="2:7" x14ac:dyDescent="0.25">
      <c r="B27" s="29">
        <v>183.9</v>
      </c>
      <c r="C27" s="24" t="s">
        <v>7</v>
      </c>
      <c r="D27" s="24"/>
      <c r="E27" s="24"/>
      <c r="F27" s="24"/>
      <c r="G27" s="30"/>
    </row>
    <row r="28" spans="2:7" x14ac:dyDescent="0.25">
      <c r="B28" s="29">
        <v>3.97</v>
      </c>
      <c r="C28" s="24" t="s">
        <v>8</v>
      </c>
      <c r="D28" s="24"/>
      <c r="E28" s="24"/>
      <c r="F28" s="24"/>
      <c r="G28" s="30"/>
    </row>
    <row r="29" spans="2:7" x14ac:dyDescent="0.25">
      <c r="B29" s="31">
        <v>1.21</v>
      </c>
      <c r="C29" s="25" t="s">
        <v>11</v>
      </c>
      <c r="D29" s="106" t="s">
        <v>12</v>
      </c>
      <c r="E29" s="106"/>
      <c r="F29" s="106"/>
      <c r="G29" s="107"/>
    </row>
  </sheetData>
  <mergeCells count="2">
    <mergeCell ref="B24:D24"/>
    <mergeCell ref="D29:G29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abSelected="1" topLeftCell="F5" zoomScaleNormal="100" workbookViewId="0">
      <selection activeCell="I8" sqref="I8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4.85546875" bestFit="1" customWidth="1"/>
  </cols>
  <sheetData>
    <row r="2" spans="1:9" x14ac:dyDescent="0.25">
      <c r="A2" s="141" t="s">
        <v>24</v>
      </c>
      <c r="B2" s="141"/>
      <c r="C2" s="141"/>
      <c r="D2" s="141"/>
      <c r="E2" s="141"/>
      <c r="F2" s="141"/>
    </row>
    <row r="3" spans="1:9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9" ht="48.6" customHeight="1" x14ac:dyDescent="0.25">
      <c r="A4" s="127"/>
      <c r="B4" s="129"/>
      <c r="C4" s="129"/>
      <c r="D4" s="129"/>
      <c r="E4" s="129"/>
      <c r="F4" s="129"/>
    </row>
    <row r="5" spans="1:9" x14ac:dyDescent="0.25">
      <c r="A5" s="65">
        <v>2017</v>
      </c>
      <c r="B5" s="101">
        <v>3025</v>
      </c>
      <c r="C5" s="94">
        <v>100</v>
      </c>
      <c r="D5" s="101">
        <f>B5</f>
        <v>3025</v>
      </c>
      <c r="E5" s="95">
        <f>$I$5*D5</f>
        <v>740429.25</v>
      </c>
      <c r="F5" s="96">
        <f>$I$6*B5</f>
        <v>55539</v>
      </c>
      <c r="H5" t="s">
        <v>120</v>
      </c>
      <c r="I5">
        <v>244.77</v>
      </c>
    </row>
    <row r="6" spans="1:9" x14ac:dyDescent="0.25">
      <c r="A6" s="65">
        <v>2018</v>
      </c>
      <c r="B6" s="101">
        <v>3032</v>
      </c>
      <c r="C6" s="94">
        <v>100</v>
      </c>
      <c r="D6" s="101">
        <f>B6-B5</f>
        <v>7</v>
      </c>
      <c r="E6" s="95">
        <f t="shared" ref="E6:E25" si="0">$I$5*D6</f>
        <v>1713.39</v>
      </c>
      <c r="F6" s="96">
        <f t="shared" ref="F6:F25" si="1">$I$6*B6</f>
        <v>55667.519999999997</v>
      </c>
      <c r="H6" t="s">
        <v>121</v>
      </c>
      <c r="I6">
        <v>18.36</v>
      </c>
    </row>
    <row r="7" spans="1:9" x14ac:dyDescent="0.25">
      <c r="A7" s="65">
        <v>2019</v>
      </c>
      <c r="B7" s="101">
        <v>3039</v>
      </c>
      <c r="C7" s="94">
        <v>100</v>
      </c>
      <c r="D7" s="101">
        <f t="shared" ref="D7:D25" si="2">B7-B6</f>
        <v>7</v>
      </c>
      <c r="E7" s="95">
        <f t="shared" si="0"/>
        <v>1713.39</v>
      </c>
      <c r="F7" s="96">
        <f t="shared" si="1"/>
        <v>55796.04</v>
      </c>
    </row>
    <row r="8" spans="1:9" x14ac:dyDescent="0.25">
      <c r="A8" s="65">
        <v>2020</v>
      </c>
      <c r="B8" s="101">
        <v>3046</v>
      </c>
      <c r="C8" s="94">
        <v>100</v>
      </c>
      <c r="D8" s="101">
        <f t="shared" si="2"/>
        <v>7</v>
      </c>
      <c r="E8" s="95">
        <f t="shared" si="0"/>
        <v>1713.39</v>
      </c>
      <c r="F8" s="96">
        <f t="shared" si="1"/>
        <v>55924.56</v>
      </c>
      <c r="H8" t="s">
        <v>124</v>
      </c>
      <c r="I8" s="55">
        <f>B25*100*0.15</f>
        <v>47550</v>
      </c>
    </row>
    <row r="9" spans="1:9" x14ac:dyDescent="0.25">
      <c r="A9" s="65">
        <v>2021</v>
      </c>
      <c r="B9" s="101">
        <v>3054</v>
      </c>
      <c r="C9" s="94">
        <v>100</v>
      </c>
      <c r="D9" s="101">
        <f t="shared" si="2"/>
        <v>8</v>
      </c>
      <c r="E9" s="95">
        <f t="shared" si="0"/>
        <v>1958.16</v>
      </c>
      <c r="F9" s="96">
        <f t="shared" si="1"/>
        <v>56071.439999999995</v>
      </c>
    </row>
    <row r="10" spans="1:9" x14ac:dyDescent="0.25">
      <c r="A10" s="65">
        <v>2022</v>
      </c>
      <c r="B10" s="101">
        <v>3061</v>
      </c>
      <c r="C10" s="94">
        <v>100</v>
      </c>
      <c r="D10" s="101">
        <f t="shared" si="2"/>
        <v>7</v>
      </c>
      <c r="E10" s="95">
        <f t="shared" si="0"/>
        <v>1713.39</v>
      </c>
      <c r="F10" s="96">
        <f t="shared" si="1"/>
        <v>56199.96</v>
      </c>
      <c r="H10" t="s">
        <v>125</v>
      </c>
      <c r="I10" s="92">
        <f>I8+H28</f>
        <v>2017586.9400000002</v>
      </c>
    </row>
    <row r="11" spans="1:9" x14ac:dyDescent="0.25">
      <c r="A11" s="65">
        <v>2023</v>
      </c>
      <c r="B11" s="101">
        <v>3068</v>
      </c>
      <c r="C11" s="94">
        <v>100</v>
      </c>
      <c r="D11" s="101">
        <f t="shared" si="2"/>
        <v>7</v>
      </c>
      <c r="E11" s="95">
        <f t="shared" si="0"/>
        <v>1713.39</v>
      </c>
      <c r="F11" s="96">
        <f t="shared" si="1"/>
        <v>56328.479999999996</v>
      </c>
    </row>
    <row r="12" spans="1:9" x14ac:dyDescent="0.25">
      <c r="A12" s="65">
        <v>2024</v>
      </c>
      <c r="B12" s="101">
        <v>3075</v>
      </c>
      <c r="C12" s="94">
        <v>100</v>
      </c>
      <c r="D12" s="101">
        <f t="shared" si="2"/>
        <v>7</v>
      </c>
      <c r="E12" s="95">
        <f t="shared" si="0"/>
        <v>1713.39</v>
      </c>
      <c r="F12" s="96">
        <f t="shared" si="1"/>
        <v>56457</v>
      </c>
    </row>
    <row r="13" spans="1:9" x14ac:dyDescent="0.25">
      <c r="A13" s="65">
        <v>2025</v>
      </c>
      <c r="B13" s="101">
        <v>3082</v>
      </c>
      <c r="C13" s="94">
        <v>100</v>
      </c>
      <c r="D13" s="101">
        <f t="shared" si="2"/>
        <v>7</v>
      </c>
      <c r="E13" s="95">
        <f t="shared" si="0"/>
        <v>1713.39</v>
      </c>
      <c r="F13" s="96">
        <f t="shared" si="1"/>
        <v>56585.52</v>
      </c>
    </row>
    <row r="14" spans="1:9" x14ac:dyDescent="0.25">
      <c r="A14" s="65">
        <v>2026</v>
      </c>
      <c r="B14" s="101">
        <v>3090</v>
      </c>
      <c r="C14" s="94">
        <v>100</v>
      </c>
      <c r="D14" s="101">
        <f t="shared" si="2"/>
        <v>8</v>
      </c>
      <c r="E14" s="95">
        <f t="shared" si="0"/>
        <v>1958.16</v>
      </c>
      <c r="F14" s="96">
        <f t="shared" si="1"/>
        <v>56732.4</v>
      </c>
    </row>
    <row r="15" spans="1:9" x14ac:dyDescent="0.25">
      <c r="A15" s="65">
        <v>2027</v>
      </c>
      <c r="B15" s="101">
        <v>3097</v>
      </c>
      <c r="C15" s="94">
        <v>100</v>
      </c>
      <c r="D15" s="101">
        <f t="shared" si="2"/>
        <v>7</v>
      </c>
      <c r="E15" s="95">
        <f t="shared" si="0"/>
        <v>1713.39</v>
      </c>
      <c r="F15" s="96">
        <f t="shared" si="1"/>
        <v>56860.92</v>
      </c>
    </row>
    <row r="16" spans="1:9" x14ac:dyDescent="0.25">
      <c r="A16" s="65">
        <v>2028</v>
      </c>
      <c r="B16" s="101">
        <v>3104</v>
      </c>
      <c r="C16" s="94">
        <v>100</v>
      </c>
      <c r="D16" s="101">
        <f t="shared" si="2"/>
        <v>7</v>
      </c>
      <c r="E16" s="95">
        <f t="shared" si="0"/>
        <v>1713.39</v>
      </c>
      <c r="F16" s="96">
        <f t="shared" si="1"/>
        <v>56989.439999999995</v>
      </c>
    </row>
    <row r="17" spans="1:8" x14ac:dyDescent="0.25">
      <c r="A17" s="65">
        <v>2029</v>
      </c>
      <c r="B17" s="101">
        <v>3111</v>
      </c>
      <c r="C17" s="94">
        <v>100</v>
      </c>
      <c r="D17" s="101">
        <f t="shared" si="2"/>
        <v>7</v>
      </c>
      <c r="E17" s="95">
        <f t="shared" si="0"/>
        <v>1713.39</v>
      </c>
      <c r="F17" s="96">
        <f t="shared" si="1"/>
        <v>57117.96</v>
      </c>
    </row>
    <row r="18" spans="1:8" x14ac:dyDescent="0.25">
      <c r="A18" s="65">
        <v>2030</v>
      </c>
      <c r="B18" s="101">
        <v>3119</v>
      </c>
      <c r="C18" s="94">
        <v>100</v>
      </c>
      <c r="D18" s="101">
        <f t="shared" si="2"/>
        <v>8</v>
      </c>
      <c r="E18" s="95">
        <f t="shared" si="0"/>
        <v>1958.16</v>
      </c>
      <c r="F18" s="96">
        <f t="shared" si="1"/>
        <v>57264.84</v>
      </c>
    </row>
    <row r="19" spans="1:8" x14ac:dyDescent="0.25">
      <c r="A19" s="65">
        <v>2031</v>
      </c>
      <c r="B19" s="101">
        <v>3126</v>
      </c>
      <c r="C19" s="94">
        <v>100</v>
      </c>
      <c r="D19" s="101">
        <f t="shared" si="2"/>
        <v>7</v>
      </c>
      <c r="E19" s="95">
        <f t="shared" si="0"/>
        <v>1713.39</v>
      </c>
      <c r="F19" s="96">
        <f t="shared" si="1"/>
        <v>57393.36</v>
      </c>
    </row>
    <row r="20" spans="1:8" x14ac:dyDescent="0.25">
      <c r="A20" s="65">
        <v>2032</v>
      </c>
      <c r="B20" s="101">
        <v>3133</v>
      </c>
      <c r="C20" s="94">
        <v>100</v>
      </c>
      <c r="D20" s="101">
        <f t="shared" si="2"/>
        <v>7</v>
      </c>
      <c r="E20" s="95">
        <f t="shared" si="0"/>
        <v>1713.39</v>
      </c>
      <c r="F20" s="96">
        <f t="shared" si="1"/>
        <v>57521.88</v>
      </c>
    </row>
    <row r="21" spans="1:8" x14ac:dyDescent="0.25">
      <c r="A21" s="65">
        <v>2033</v>
      </c>
      <c r="B21" s="101">
        <v>3141</v>
      </c>
      <c r="C21" s="94">
        <v>100</v>
      </c>
      <c r="D21" s="101">
        <f t="shared" si="2"/>
        <v>8</v>
      </c>
      <c r="E21" s="95">
        <f t="shared" si="0"/>
        <v>1958.16</v>
      </c>
      <c r="F21" s="96">
        <f t="shared" si="1"/>
        <v>57668.759999999995</v>
      </c>
    </row>
    <row r="22" spans="1:8" x14ac:dyDescent="0.25">
      <c r="A22" s="65">
        <v>2034</v>
      </c>
      <c r="B22" s="101">
        <v>3148</v>
      </c>
      <c r="C22" s="94">
        <v>100</v>
      </c>
      <c r="D22" s="101">
        <f t="shared" si="2"/>
        <v>7</v>
      </c>
      <c r="E22" s="95">
        <f t="shared" si="0"/>
        <v>1713.39</v>
      </c>
      <c r="F22" s="96">
        <f t="shared" si="1"/>
        <v>57797.279999999999</v>
      </c>
    </row>
    <row r="23" spans="1:8" x14ac:dyDescent="0.25">
      <c r="A23" s="65">
        <v>2035</v>
      </c>
      <c r="B23" s="101">
        <v>3155</v>
      </c>
      <c r="C23" s="94">
        <v>100</v>
      </c>
      <c r="D23" s="101">
        <f t="shared" si="2"/>
        <v>7</v>
      </c>
      <c r="E23" s="95">
        <f t="shared" si="0"/>
        <v>1713.39</v>
      </c>
      <c r="F23" s="96">
        <f t="shared" si="1"/>
        <v>57925.799999999996</v>
      </c>
    </row>
    <row r="24" spans="1:8" x14ac:dyDescent="0.25">
      <c r="A24" s="65">
        <v>2036</v>
      </c>
      <c r="B24" s="101">
        <v>3163</v>
      </c>
      <c r="C24" s="94">
        <v>100</v>
      </c>
      <c r="D24" s="101">
        <f t="shared" si="2"/>
        <v>8</v>
      </c>
      <c r="E24" s="95">
        <f t="shared" si="0"/>
        <v>1958.16</v>
      </c>
      <c r="F24" s="96">
        <f t="shared" si="1"/>
        <v>58072.68</v>
      </c>
    </row>
    <row r="25" spans="1:8" x14ac:dyDescent="0.25">
      <c r="A25" s="65">
        <v>2037</v>
      </c>
      <c r="B25" s="101">
        <v>3170</v>
      </c>
      <c r="C25" s="94">
        <v>100</v>
      </c>
      <c r="D25" s="101">
        <f t="shared" si="2"/>
        <v>7</v>
      </c>
      <c r="E25" s="95">
        <f t="shared" si="0"/>
        <v>1713.39</v>
      </c>
      <c r="F25" s="96">
        <f t="shared" si="1"/>
        <v>58201.2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775920.90000000037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1194116.0399999998</v>
      </c>
      <c r="H28" s="92">
        <f>F27+F28</f>
        <v>1970036.9400000002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16" t="s">
        <v>116</v>
      </c>
      <c r="B30" s="117"/>
      <c r="C30" s="117"/>
      <c r="D30" s="117"/>
      <c r="E30" s="117"/>
      <c r="F30" s="117"/>
    </row>
    <row r="31" spans="1:8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A27:E27"/>
    <mergeCell ref="A28:E28"/>
    <mergeCell ref="A30:F30"/>
    <mergeCell ref="A31:F31"/>
    <mergeCell ref="F49:F50"/>
    <mergeCell ref="A2:F2"/>
    <mergeCell ref="A3:A4"/>
    <mergeCell ref="B3:B4"/>
    <mergeCell ref="C3:C4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topLeftCell="A12" zoomScaleNormal="100" workbookViewId="0">
      <selection activeCell="F36" sqref="F36"/>
    </sheetView>
  </sheetViews>
  <sheetFormatPr defaultRowHeight="15" x14ac:dyDescent="0.25"/>
  <cols>
    <col min="1" max="1" width="0.42578125" customWidth="1"/>
    <col min="3" max="3" width="20.7109375" customWidth="1"/>
    <col min="4" max="4" width="25.85546875" customWidth="1"/>
    <col min="5" max="5" width="14.7109375" customWidth="1"/>
    <col min="6" max="6" width="16.140625" customWidth="1"/>
    <col min="7" max="7" width="13.28515625" customWidth="1"/>
    <col min="8" max="8" width="23.140625" customWidth="1"/>
    <col min="9" max="9" width="16.5703125" customWidth="1"/>
    <col min="11" max="11" width="26.42578125" customWidth="1"/>
    <col min="13" max="13" width="3.42578125" customWidth="1"/>
    <col min="14" max="14" width="9" bestFit="1" customWidth="1"/>
    <col min="15" max="15" width="8.42578125" bestFit="1" customWidth="1"/>
    <col min="16" max="16" width="14.5703125" bestFit="1" customWidth="1"/>
    <col min="17" max="17" width="12.28515625" customWidth="1"/>
  </cols>
  <sheetData>
    <row r="1" spans="1:17" ht="2.25" customHeight="1" x14ac:dyDescent="0.25"/>
    <row r="2" spans="1:17" ht="19.5" customHeight="1" x14ac:dyDescent="0.25">
      <c r="B2" s="108" t="s">
        <v>22</v>
      </c>
      <c r="C2" s="108"/>
      <c r="D2" s="108"/>
      <c r="E2" s="108"/>
      <c r="F2" s="108"/>
      <c r="G2" s="108"/>
      <c r="H2" s="108"/>
      <c r="I2" s="108"/>
    </row>
    <row r="3" spans="1:17" ht="0.75" customHeight="1" x14ac:dyDescent="0.25">
      <c r="B3" s="126" t="s">
        <v>0</v>
      </c>
      <c r="C3" s="128" t="s">
        <v>84</v>
      </c>
      <c r="D3" s="128" t="s">
        <v>60</v>
      </c>
      <c r="E3" s="69"/>
      <c r="F3" s="69"/>
      <c r="G3" s="69"/>
      <c r="H3" s="69"/>
      <c r="I3" s="69"/>
      <c r="J3" s="1"/>
      <c r="K3" s="1"/>
      <c r="L3" s="1"/>
    </row>
    <row r="4" spans="1:17" ht="111" customHeight="1" x14ac:dyDescent="0.25">
      <c r="B4" s="127"/>
      <c r="C4" s="129"/>
      <c r="D4" s="129"/>
      <c r="E4" s="61" t="s">
        <v>61</v>
      </c>
      <c r="F4" s="61" t="s">
        <v>62</v>
      </c>
      <c r="G4" s="61" t="s">
        <v>63</v>
      </c>
      <c r="H4" s="61" t="s">
        <v>64</v>
      </c>
      <c r="I4" s="61" t="s">
        <v>65</v>
      </c>
      <c r="J4" s="1"/>
      <c r="K4" s="1"/>
      <c r="L4" s="1"/>
      <c r="N4" s="131"/>
      <c r="O4" s="131"/>
      <c r="P4" s="131"/>
      <c r="Q4" s="131"/>
    </row>
    <row r="5" spans="1:17" x14ac:dyDescent="0.25">
      <c r="B5" s="65">
        <v>2017</v>
      </c>
      <c r="C5" s="91">
        <v>50538</v>
      </c>
      <c r="D5" s="66">
        <f>(C5*0.11)/42225</f>
        <v>0.13165612788632328</v>
      </c>
      <c r="E5" s="67">
        <f>(C5*0.648)/42225</f>
        <v>0.77557428063943157</v>
      </c>
      <c r="F5" s="67">
        <f>(C5*0.721)/42225</f>
        <v>0.86294607460035522</v>
      </c>
      <c r="G5" s="66">
        <f>(C5*2.29)/42225</f>
        <v>2.7408412078152753</v>
      </c>
      <c r="H5" s="67">
        <v>18.52</v>
      </c>
      <c r="I5" s="67">
        <v>1.3</v>
      </c>
      <c r="J5">
        <f>I5*C5</f>
        <v>65699.400000000009</v>
      </c>
      <c r="N5" s="50"/>
      <c r="O5" s="50"/>
      <c r="P5" s="49"/>
      <c r="Q5" s="51"/>
    </row>
    <row r="6" spans="1:17" x14ac:dyDescent="0.25">
      <c r="B6" s="65">
        <v>2018</v>
      </c>
      <c r="C6" s="91">
        <v>51621</v>
      </c>
      <c r="D6" s="66">
        <f t="shared" ref="D6:D25" si="0">(C6*0.11)/42225</f>
        <v>0.13447744227353464</v>
      </c>
      <c r="E6" s="67">
        <f>(C6*0.648)/42225</f>
        <v>0.7921943872113677</v>
      </c>
      <c r="F6" s="67">
        <f>(C6*0.721)/42225</f>
        <v>0.88143850799289525</v>
      </c>
      <c r="G6" s="66">
        <f>(C6*2.29)/42225</f>
        <v>2.7995758436944937</v>
      </c>
      <c r="H6" s="67">
        <v>18.52</v>
      </c>
      <c r="I6" s="67">
        <v>1.3</v>
      </c>
      <c r="J6">
        <f t="shared" ref="J6:J25" si="1">I6*C6</f>
        <v>67107.3</v>
      </c>
      <c r="K6" t="s">
        <v>30</v>
      </c>
      <c r="N6" s="49"/>
      <c r="O6" s="49"/>
      <c r="P6" s="49"/>
      <c r="Q6" s="49"/>
    </row>
    <row r="7" spans="1:17" x14ac:dyDescent="0.25">
      <c r="B7" s="65">
        <v>2019</v>
      </c>
      <c r="C7" s="91">
        <v>52727</v>
      </c>
      <c r="D7" s="66">
        <f t="shared" si="0"/>
        <v>0.13735867377146241</v>
      </c>
      <c r="E7" s="67">
        <f t="shared" ref="E7:E25" si="2">(C7*0.648)/42225</f>
        <v>0.80916746003552398</v>
      </c>
      <c r="F7" s="67">
        <f t="shared" ref="F7:F25" si="3">(C7*0.721)/42225</f>
        <v>0.90032367081113085</v>
      </c>
      <c r="G7" s="66">
        <f t="shared" ref="G7:G25" si="4">(C7*2.29)/42225</f>
        <v>2.8595578448786263</v>
      </c>
      <c r="H7" s="67">
        <v>18.52</v>
      </c>
      <c r="I7" s="67">
        <v>1.3</v>
      </c>
      <c r="J7">
        <f t="shared" si="1"/>
        <v>68545.100000000006</v>
      </c>
      <c r="K7" t="s">
        <v>31</v>
      </c>
      <c r="N7" s="49"/>
      <c r="O7" s="49"/>
      <c r="P7" s="49"/>
      <c r="Q7" s="49"/>
    </row>
    <row r="8" spans="1:17" x14ac:dyDescent="0.25">
      <c r="B8" s="65">
        <v>2020</v>
      </c>
      <c r="C8" s="91">
        <v>53857</v>
      </c>
      <c r="D8" s="66">
        <f t="shared" si="0"/>
        <v>0.14030242747187685</v>
      </c>
      <c r="E8" s="67">
        <f t="shared" si="2"/>
        <v>0.82650884547069281</v>
      </c>
      <c r="F8" s="67">
        <f t="shared" si="3"/>
        <v>0.91961863824748369</v>
      </c>
      <c r="G8" s="66">
        <f t="shared" si="4"/>
        <v>2.9208414446418001</v>
      </c>
      <c r="H8" s="67">
        <v>18.52</v>
      </c>
      <c r="I8" s="67">
        <v>1.3</v>
      </c>
      <c r="J8">
        <f t="shared" si="1"/>
        <v>70014.100000000006</v>
      </c>
      <c r="N8" s="49"/>
      <c r="O8" s="49"/>
      <c r="P8" s="49"/>
      <c r="Q8" s="49"/>
    </row>
    <row r="9" spans="1:17" x14ac:dyDescent="0.25">
      <c r="B9" s="65">
        <v>2021</v>
      </c>
      <c r="C9" s="91">
        <v>55010</v>
      </c>
      <c r="D9" s="66">
        <f t="shared" si="0"/>
        <v>0.14330609828300769</v>
      </c>
      <c r="E9" s="67">
        <f t="shared" si="2"/>
        <v>0.84420319715808179</v>
      </c>
      <c r="F9" s="67">
        <f t="shared" si="3"/>
        <v>0.93930633510953221</v>
      </c>
      <c r="G9" s="66">
        <f t="shared" si="4"/>
        <v>2.9833724097098879</v>
      </c>
      <c r="H9" s="67">
        <v>18.52</v>
      </c>
      <c r="I9" s="67">
        <v>1.3</v>
      </c>
      <c r="J9">
        <f t="shared" si="1"/>
        <v>71513</v>
      </c>
      <c r="K9">
        <v>42225</v>
      </c>
      <c r="N9" s="49"/>
      <c r="O9" s="49"/>
      <c r="P9" s="49"/>
      <c r="Q9" s="49"/>
    </row>
    <row r="10" spans="1:17" x14ac:dyDescent="0.25">
      <c r="A10" s="48"/>
      <c r="B10" s="65">
        <v>2022</v>
      </c>
      <c r="C10" s="91">
        <v>56189</v>
      </c>
      <c r="D10" s="66">
        <f t="shared" si="0"/>
        <v>0.14637750148016579</v>
      </c>
      <c r="E10" s="67">
        <f t="shared" si="2"/>
        <v>0.86229655417406759</v>
      </c>
      <c r="F10" s="67">
        <f t="shared" si="3"/>
        <v>0.95943798697454119</v>
      </c>
      <c r="G10" s="66">
        <f t="shared" si="4"/>
        <v>3.0473134399052695</v>
      </c>
      <c r="H10" s="67">
        <v>18.52</v>
      </c>
      <c r="I10" s="67">
        <v>1.3</v>
      </c>
      <c r="J10">
        <f t="shared" si="1"/>
        <v>73045.7</v>
      </c>
      <c r="K10" t="s">
        <v>46</v>
      </c>
      <c r="N10" s="49"/>
      <c r="O10" s="49"/>
      <c r="P10" s="49"/>
      <c r="Q10" s="49"/>
    </row>
    <row r="11" spans="1:17" x14ac:dyDescent="0.25">
      <c r="A11" s="48"/>
      <c r="B11" s="65">
        <v>2023</v>
      </c>
      <c r="C11" s="91">
        <v>57393</v>
      </c>
      <c r="D11" s="66">
        <f t="shared" si="0"/>
        <v>0.14951403197158084</v>
      </c>
      <c r="E11" s="67">
        <f t="shared" si="2"/>
        <v>0.88077357015985802</v>
      </c>
      <c r="F11" s="67">
        <f t="shared" si="3"/>
        <v>0.97999651865008874</v>
      </c>
      <c r="G11" s="66">
        <f t="shared" si="4"/>
        <v>3.1126103019538189</v>
      </c>
      <c r="H11" s="67">
        <v>18.52</v>
      </c>
      <c r="I11" s="67">
        <v>1.3</v>
      </c>
      <c r="J11">
        <f t="shared" si="1"/>
        <v>74610.900000000009</v>
      </c>
      <c r="K11" s="54">
        <v>2.4300000000000002</v>
      </c>
      <c r="N11" s="49"/>
      <c r="O11" s="49"/>
      <c r="P11" s="49"/>
      <c r="Q11" s="49"/>
    </row>
    <row r="12" spans="1:17" x14ac:dyDescent="0.25">
      <c r="A12" s="48"/>
      <c r="B12" s="65">
        <v>2024</v>
      </c>
      <c r="C12" s="91">
        <v>58623</v>
      </c>
      <c r="D12" s="66">
        <f t="shared" si="0"/>
        <v>0.15271829484902308</v>
      </c>
      <c r="E12" s="67">
        <f t="shared" si="2"/>
        <v>0.89964959147424506</v>
      </c>
      <c r="F12" s="67">
        <f t="shared" si="3"/>
        <v>1.0009990053285966</v>
      </c>
      <c r="G12" s="66">
        <f t="shared" si="4"/>
        <v>3.179317229129663</v>
      </c>
      <c r="H12" s="67">
        <v>18.52</v>
      </c>
      <c r="I12" s="67">
        <v>1.3</v>
      </c>
      <c r="J12">
        <f t="shared" si="1"/>
        <v>76209.900000000009</v>
      </c>
      <c r="N12" s="49"/>
      <c r="O12" s="49"/>
      <c r="P12" s="49"/>
      <c r="Q12" s="49"/>
    </row>
    <row r="13" spans="1:17" x14ac:dyDescent="0.25">
      <c r="A13" s="48"/>
      <c r="B13" s="65">
        <v>2025</v>
      </c>
      <c r="C13" s="91">
        <v>59879</v>
      </c>
      <c r="D13" s="66">
        <f t="shared" si="0"/>
        <v>0.1559902901124926</v>
      </c>
      <c r="E13" s="67">
        <f t="shared" si="2"/>
        <v>0.91892461811722925</v>
      </c>
      <c r="F13" s="67">
        <f t="shared" si="3"/>
        <v>1.022445447010065</v>
      </c>
      <c r="G13" s="66">
        <f t="shared" si="4"/>
        <v>3.2474342214328007</v>
      </c>
      <c r="H13" s="67">
        <v>18.52</v>
      </c>
      <c r="I13" s="67">
        <v>1.3</v>
      </c>
      <c r="J13">
        <f t="shared" si="1"/>
        <v>77842.7</v>
      </c>
      <c r="K13" t="s">
        <v>45</v>
      </c>
      <c r="N13" s="49"/>
      <c r="O13" s="49"/>
      <c r="P13" s="49"/>
      <c r="Q13" s="49"/>
    </row>
    <row r="14" spans="1:17" x14ac:dyDescent="0.25">
      <c r="A14" s="48"/>
      <c r="B14" s="65">
        <v>2026</v>
      </c>
      <c r="C14" s="91">
        <v>61162</v>
      </c>
      <c r="D14" s="66">
        <f t="shared" si="0"/>
        <v>0.15933262285375963</v>
      </c>
      <c r="E14" s="67">
        <f t="shared" si="2"/>
        <v>0.93861399644760224</v>
      </c>
      <c r="F14" s="67">
        <f t="shared" si="3"/>
        <v>1.0443529188869152</v>
      </c>
      <c r="G14" s="66">
        <f t="shared" si="4"/>
        <v>3.3170155121373597</v>
      </c>
      <c r="H14" s="67">
        <v>18.52</v>
      </c>
      <c r="I14" s="67">
        <v>1.3</v>
      </c>
      <c r="J14">
        <f t="shared" si="1"/>
        <v>79510.600000000006</v>
      </c>
      <c r="K14" s="55">
        <v>2.4</v>
      </c>
      <c r="N14" s="49"/>
      <c r="O14" s="49"/>
      <c r="P14" s="49"/>
      <c r="Q14" s="49"/>
    </row>
    <row r="15" spans="1:17" x14ac:dyDescent="0.25">
      <c r="A15" s="48"/>
      <c r="B15" s="65">
        <v>2027</v>
      </c>
      <c r="C15" s="91">
        <v>62472</v>
      </c>
      <c r="D15" s="66">
        <f t="shared" si="0"/>
        <v>0.16274529307282415</v>
      </c>
      <c r="E15" s="67">
        <f t="shared" si="2"/>
        <v>0.95871772646536413</v>
      </c>
      <c r="F15" s="67">
        <f t="shared" si="3"/>
        <v>1.0667214209591473</v>
      </c>
      <c r="G15" s="66">
        <f t="shared" si="4"/>
        <v>3.3880611012433395</v>
      </c>
      <c r="H15" s="67">
        <v>18.52</v>
      </c>
      <c r="I15" s="67">
        <v>1.3</v>
      </c>
      <c r="J15">
        <f t="shared" si="1"/>
        <v>81213.600000000006</v>
      </c>
      <c r="N15" s="49"/>
      <c r="O15" s="49"/>
      <c r="P15" s="49"/>
      <c r="Q15" s="49"/>
    </row>
    <row r="16" spans="1:17" x14ac:dyDescent="0.25">
      <c r="A16" s="48"/>
      <c r="B16" s="65">
        <v>2028</v>
      </c>
      <c r="C16" s="91">
        <v>63811</v>
      </c>
      <c r="D16" s="66">
        <f t="shared" si="0"/>
        <v>0.16623351095322675</v>
      </c>
      <c r="E16" s="67">
        <f t="shared" si="2"/>
        <v>0.97926650088809941</v>
      </c>
      <c r="F16" s="67">
        <f t="shared" si="3"/>
        <v>1.0895851036116044</v>
      </c>
      <c r="G16" s="66">
        <f t="shared" si="4"/>
        <v>3.4606794552989935</v>
      </c>
      <c r="H16" s="67">
        <v>18.52</v>
      </c>
      <c r="I16" s="67">
        <v>1.3</v>
      </c>
      <c r="J16">
        <f t="shared" si="1"/>
        <v>82954.3</v>
      </c>
      <c r="N16" s="49"/>
      <c r="O16" s="49"/>
      <c r="P16" s="49"/>
      <c r="Q16" s="49"/>
    </row>
    <row r="17" spans="1:17" x14ac:dyDescent="0.25">
      <c r="A17" s="48"/>
      <c r="B17" s="65">
        <v>2029</v>
      </c>
      <c r="C17" s="91">
        <v>65178</v>
      </c>
      <c r="D17" s="66">
        <f t="shared" si="0"/>
        <v>0.16979467140319715</v>
      </c>
      <c r="E17" s="67">
        <f t="shared" si="2"/>
        <v>1.000244973357016</v>
      </c>
      <c r="F17" s="67">
        <f t="shared" si="3"/>
        <v>1.1129268916518649</v>
      </c>
      <c r="G17" s="66">
        <f t="shared" si="4"/>
        <v>3.5348163410301954</v>
      </c>
      <c r="H17" s="67">
        <v>18.52</v>
      </c>
      <c r="I17" s="67">
        <v>1.3</v>
      </c>
      <c r="J17">
        <f t="shared" si="1"/>
        <v>84731.400000000009</v>
      </c>
      <c r="N17" s="49"/>
      <c r="O17" s="49"/>
      <c r="P17" s="49"/>
      <c r="Q17" s="49"/>
    </row>
    <row r="18" spans="1:17" x14ac:dyDescent="0.25">
      <c r="A18" s="48"/>
      <c r="B18" s="65">
        <v>2030</v>
      </c>
      <c r="C18" s="91">
        <v>66575</v>
      </c>
      <c r="D18" s="66">
        <f t="shared" si="0"/>
        <v>0.1734339846062759</v>
      </c>
      <c r="E18" s="67">
        <f t="shared" si="2"/>
        <v>1.0216838365896981</v>
      </c>
      <c r="F18" s="67">
        <f t="shared" si="3"/>
        <v>1.136780935464772</v>
      </c>
      <c r="G18" s="66">
        <f t="shared" si="4"/>
        <v>3.6105802249851982</v>
      </c>
      <c r="H18" s="67">
        <v>18.52</v>
      </c>
      <c r="I18" s="67">
        <v>1.3</v>
      </c>
      <c r="J18">
        <f t="shared" si="1"/>
        <v>86547.5</v>
      </c>
      <c r="N18" s="49"/>
      <c r="O18" s="49"/>
      <c r="P18" s="49"/>
      <c r="Q18" s="49"/>
    </row>
    <row r="19" spans="1:17" x14ac:dyDescent="0.25">
      <c r="A19" s="48"/>
      <c r="B19" s="65">
        <v>2031</v>
      </c>
      <c r="C19" s="91">
        <v>68001</v>
      </c>
      <c r="D19" s="66">
        <f t="shared" si="0"/>
        <v>0.17714884547069271</v>
      </c>
      <c r="E19" s="67">
        <f t="shared" si="2"/>
        <v>1.0435677442273534</v>
      </c>
      <c r="F19" s="67">
        <f t="shared" si="3"/>
        <v>1.161130159857904</v>
      </c>
      <c r="G19" s="66">
        <f t="shared" si="4"/>
        <v>3.687916873889876</v>
      </c>
      <c r="H19" s="67">
        <v>18.52</v>
      </c>
      <c r="I19" s="67">
        <v>1.3</v>
      </c>
      <c r="J19">
        <f t="shared" si="1"/>
        <v>88401.3</v>
      </c>
      <c r="N19" s="49"/>
      <c r="O19" s="49"/>
      <c r="P19" s="49"/>
      <c r="Q19" s="49"/>
    </row>
    <row r="20" spans="1:17" x14ac:dyDescent="0.25">
      <c r="A20" s="48"/>
      <c r="B20" s="65">
        <v>2032</v>
      </c>
      <c r="C20" s="91">
        <v>69458</v>
      </c>
      <c r="D20" s="66">
        <f t="shared" si="0"/>
        <v>0.18094446417998816</v>
      </c>
      <c r="E20" s="67">
        <f t="shared" si="2"/>
        <v>1.0659273889875667</v>
      </c>
      <c r="F20" s="67">
        <f t="shared" si="3"/>
        <v>1.1860087152161043</v>
      </c>
      <c r="G20" s="66">
        <f t="shared" si="4"/>
        <v>3.7669347542924809</v>
      </c>
      <c r="H20" s="67">
        <v>18.52</v>
      </c>
      <c r="I20" s="67">
        <v>1.3</v>
      </c>
      <c r="J20">
        <f t="shared" si="1"/>
        <v>90295.400000000009</v>
      </c>
      <c r="L20" s="49"/>
      <c r="M20" s="49"/>
      <c r="N20" s="49"/>
      <c r="O20" s="49"/>
      <c r="P20" s="49"/>
      <c r="Q20" s="49"/>
    </row>
    <row r="21" spans="1:17" x14ac:dyDescent="0.25">
      <c r="A21" s="48"/>
      <c r="B21" s="65">
        <v>2033</v>
      </c>
      <c r="C21" s="91">
        <v>70946</v>
      </c>
      <c r="D21" s="66">
        <f t="shared" si="0"/>
        <v>0.18482084073416225</v>
      </c>
      <c r="E21" s="67">
        <f t="shared" si="2"/>
        <v>1.0887627708703376</v>
      </c>
      <c r="F21" s="67">
        <f t="shared" si="3"/>
        <v>1.2114166015393724</v>
      </c>
      <c r="G21" s="66">
        <f t="shared" si="4"/>
        <v>3.8476338661930134</v>
      </c>
      <c r="H21" s="67">
        <v>18.52</v>
      </c>
      <c r="I21" s="67">
        <v>1.3</v>
      </c>
      <c r="J21">
        <f t="shared" si="1"/>
        <v>92229.8</v>
      </c>
      <c r="L21" s="49"/>
      <c r="M21" s="49"/>
      <c r="N21" s="49"/>
      <c r="O21" s="49"/>
      <c r="P21" s="49"/>
      <c r="Q21" s="49"/>
    </row>
    <row r="22" spans="1:17" x14ac:dyDescent="0.25">
      <c r="A22" s="48"/>
      <c r="B22" s="65">
        <v>2034</v>
      </c>
      <c r="C22" s="91">
        <v>72466</v>
      </c>
      <c r="D22" s="66">
        <f t="shared" si="0"/>
        <v>0.1887805802249852</v>
      </c>
      <c r="E22" s="67">
        <f t="shared" si="2"/>
        <v>1.1120892362344583</v>
      </c>
      <c r="F22" s="67">
        <f t="shared" si="3"/>
        <v>1.2373708940201302</v>
      </c>
      <c r="G22" s="66">
        <f t="shared" si="4"/>
        <v>3.9300684428656014</v>
      </c>
      <c r="H22" s="67">
        <v>18.52</v>
      </c>
      <c r="I22" s="67">
        <v>1.3</v>
      </c>
      <c r="J22">
        <f t="shared" si="1"/>
        <v>94205.8</v>
      </c>
      <c r="L22" s="49"/>
      <c r="M22" s="49"/>
      <c r="N22" s="53"/>
      <c r="O22" s="49"/>
      <c r="P22" s="49"/>
      <c r="Q22" s="49"/>
    </row>
    <row r="23" spans="1:17" x14ac:dyDescent="0.25">
      <c r="A23" s="48"/>
      <c r="B23" s="65">
        <v>2035</v>
      </c>
      <c r="C23" s="91">
        <v>74019</v>
      </c>
      <c r="D23" s="66">
        <f t="shared" si="0"/>
        <v>0.19282628774422736</v>
      </c>
      <c r="E23" s="67">
        <f t="shared" si="2"/>
        <v>1.1359221314387211</v>
      </c>
      <c r="F23" s="67">
        <f t="shared" si="3"/>
        <v>1.2638886678507992</v>
      </c>
      <c r="G23" s="66">
        <f t="shared" si="4"/>
        <v>4.0142927175843699</v>
      </c>
      <c r="H23" s="67">
        <v>18.52</v>
      </c>
      <c r="I23" s="67">
        <v>1.3</v>
      </c>
      <c r="J23">
        <f t="shared" si="1"/>
        <v>96224.7</v>
      </c>
      <c r="L23" s="49"/>
      <c r="M23" s="49"/>
      <c r="N23" s="49"/>
      <c r="O23" s="52"/>
      <c r="P23" s="49"/>
      <c r="Q23" s="49"/>
    </row>
    <row r="24" spans="1:17" x14ac:dyDescent="0.25">
      <c r="A24" s="48"/>
      <c r="B24" s="65">
        <v>2036</v>
      </c>
      <c r="C24" s="91">
        <v>75605</v>
      </c>
      <c r="D24" s="66">
        <f t="shared" si="0"/>
        <v>0.19695796329188867</v>
      </c>
      <c r="E24" s="67">
        <f t="shared" si="2"/>
        <v>1.1602614564831262</v>
      </c>
      <c r="F24" s="67">
        <f t="shared" si="3"/>
        <v>1.2909699230313794</v>
      </c>
      <c r="G24" s="66">
        <f t="shared" si="4"/>
        <v>4.1003066903493197</v>
      </c>
      <c r="H24" s="67">
        <v>18.52</v>
      </c>
      <c r="I24" s="67">
        <v>1.3</v>
      </c>
      <c r="J24">
        <f t="shared" si="1"/>
        <v>98286.5</v>
      </c>
      <c r="L24" s="49"/>
      <c r="M24" s="49"/>
      <c r="N24" s="49"/>
      <c r="O24" s="49"/>
      <c r="P24" s="49"/>
      <c r="Q24" s="49"/>
    </row>
    <row r="25" spans="1:17" x14ac:dyDescent="0.25">
      <c r="A25" s="48"/>
      <c r="B25" s="65">
        <v>2037</v>
      </c>
      <c r="C25" s="91">
        <v>77225</v>
      </c>
      <c r="D25" s="66">
        <f t="shared" si="0"/>
        <v>0.20117821195973948</v>
      </c>
      <c r="E25" s="67">
        <f t="shared" si="2"/>
        <v>1.1851225577264655</v>
      </c>
      <c r="F25" s="67">
        <f t="shared" si="3"/>
        <v>1.3186317347542924</v>
      </c>
      <c r="G25" s="66">
        <f t="shared" si="4"/>
        <v>4.1881645944345767</v>
      </c>
      <c r="H25" s="67">
        <v>18.52</v>
      </c>
      <c r="I25" s="67">
        <v>1.3</v>
      </c>
      <c r="J25">
        <f t="shared" si="1"/>
        <v>100392.5</v>
      </c>
      <c r="L25" s="49"/>
      <c r="M25" s="49"/>
      <c r="N25" s="49"/>
      <c r="O25" s="49"/>
      <c r="P25" s="49"/>
      <c r="Q25" s="49"/>
    </row>
    <row r="26" spans="1:17" ht="6.75" customHeight="1" x14ac:dyDescent="0.25">
      <c r="A26" s="48"/>
      <c r="B26" s="68"/>
      <c r="C26" s="74"/>
      <c r="D26" s="68"/>
      <c r="E26" s="68"/>
      <c r="F26" s="68"/>
      <c r="G26" s="68"/>
      <c r="H26" s="68"/>
      <c r="I26" s="68"/>
    </row>
    <row r="27" spans="1:17" x14ac:dyDescent="0.25">
      <c r="A27" s="48"/>
      <c r="B27" s="110" t="s">
        <v>68</v>
      </c>
      <c r="C27" s="111"/>
      <c r="D27" s="111"/>
      <c r="E27" s="111"/>
      <c r="F27" s="111"/>
      <c r="G27" s="111"/>
      <c r="H27" s="112"/>
      <c r="I27" s="70">
        <f>C5*H5</f>
        <v>935963.76</v>
      </c>
    </row>
    <row r="28" spans="1:17" x14ac:dyDescent="0.25">
      <c r="A28" s="48"/>
      <c r="B28" s="113" t="s">
        <v>109</v>
      </c>
      <c r="C28" s="114"/>
      <c r="D28" s="114"/>
      <c r="E28" s="114"/>
      <c r="F28" s="114"/>
      <c r="G28" s="114"/>
      <c r="H28" s="115"/>
      <c r="I28" s="70">
        <f>C5*I5</f>
        <v>65699.400000000009</v>
      </c>
      <c r="K28" s="92">
        <f>I27+I28</f>
        <v>1001663.16</v>
      </c>
    </row>
    <row r="29" spans="1:17" ht="6" customHeight="1" x14ac:dyDescent="0.25">
      <c r="A29" s="48"/>
      <c r="B29" s="68"/>
      <c r="C29" s="68"/>
      <c r="D29" s="68"/>
      <c r="E29" s="68"/>
      <c r="F29" s="68"/>
      <c r="G29" s="68"/>
      <c r="H29" s="68"/>
      <c r="I29" s="68"/>
    </row>
    <row r="30" spans="1:17" x14ac:dyDescent="0.25">
      <c r="A30" s="48"/>
      <c r="B30" s="119"/>
      <c r="C30" s="120"/>
      <c r="D30" s="120"/>
      <c r="E30" s="120"/>
      <c r="F30" s="120"/>
      <c r="G30" s="120"/>
      <c r="H30" s="120"/>
      <c r="I30" s="121"/>
    </row>
    <row r="31" spans="1:17" x14ac:dyDescent="0.25">
      <c r="A31" s="48"/>
      <c r="B31" s="116" t="s">
        <v>59</v>
      </c>
      <c r="C31" s="117"/>
      <c r="D31" s="117"/>
      <c r="E31" s="117"/>
      <c r="F31" s="117"/>
      <c r="G31" s="117"/>
      <c r="H31" s="117"/>
      <c r="I31" s="118"/>
    </row>
    <row r="32" spans="1:17" x14ac:dyDescent="0.25">
      <c r="A32" s="48"/>
      <c r="B32" s="116" t="s">
        <v>108</v>
      </c>
      <c r="C32" s="117"/>
      <c r="D32" s="117"/>
      <c r="E32" s="117"/>
      <c r="F32" s="117"/>
      <c r="G32" s="117"/>
      <c r="H32" s="117"/>
      <c r="I32" s="118"/>
    </row>
    <row r="33" spans="1:9" x14ac:dyDescent="0.25">
      <c r="A33" s="48"/>
      <c r="B33" s="116" t="s">
        <v>83</v>
      </c>
      <c r="C33" s="117"/>
      <c r="D33" s="117"/>
      <c r="E33" s="117"/>
      <c r="F33" s="117"/>
      <c r="G33" s="117"/>
      <c r="H33" s="117"/>
      <c r="I33" s="118"/>
    </row>
    <row r="35" spans="1:9" x14ac:dyDescent="0.25">
      <c r="B35" s="122"/>
      <c r="C35" s="122"/>
      <c r="D35" s="122"/>
      <c r="E35" s="122"/>
      <c r="F35" s="122"/>
    </row>
    <row r="43" spans="1:9" x14ac:dyDescent="0.25">
      <c r="C43" s="123" t="s">
        <v>29</v>
      </c>
      <c r="D43" s="123"/>
    </row>
    <row r="44" spans="1:9" ht="19.5" customHeight="1" x14ac:dyDescent="0.25">
      <c r="C44" s="84" t="s">
        <v>28</v>
      </c>
      <c r="D44" s="68"/>
    </row>
    <row r="45" spans="1:9" x14ac:dyDescent="0.25">
      <c r="C45" s="123" t="s">
        <v>26</v>
      </c>
      <c r="D45" s="123"/>
    </row>
    <row r="46" spans="1:9" x14ac:dyDescent="0.25">
      <c r="C46" s="68" t="s">
        <v>77</v>
      </c>
      <c r="D46" s="77">
        <v>18.52</v>
      </c>
    </row>
    <row r="47" spans="1:9" x14ac:dyDescent="0.25">
      <c r="C47" s="68" t="s">
        <v>93</v>
      </c>
      <c r="D47" s="68"/>
    </row>
    <row r="48" spans="1:9" ht="19.5" customHeight="1" x14ac:dyDescent="0.25">
      <c r="C48" s="86" t="s">
        <v>50</v>
      </c>
      <c r="D48" s="87">
        <f>H5*C5</f>
        <v>935963.76</v>
      </c>
    </row>
    <row r="49" spans="3:11" x14ac:dyDescent="0.25">
      <c r="C49" s="123" t="s">
        <v>27</v>
      </c>
      <c r="D49" s="123"/>
    </row>
    <row r="50" spans="3:11" x14ac:dyDescent="0.25">
      <c r="C50" s="68" t="s">
        <v>78</v>
      </c>
      <c r="D50" s="78">
        <v>1.3</v>
      </c>
    </row>
    <row r="51" spans="3:11" x14ac:dyDescent="0.25">
      <c r="C51" s="68" t="s">
        <v>94</v>
      </c>
      <c r="D51" s="68"/>
    </row>
    <row r="52" spans="3:11" ht="19.5" customHeight="1" x14ac:dyDescent="0.25">
      <c r="C52" s="86" t="s">
        <v>50</v>
      </c>
      <c r="D52" s="87">
        <f>I5*C5</f>
        <v>65699.400000000009</v>
      </c>
    </row>
    <row r="53" spans="3:11" ht="59.25" customHeight="1" x14ac:dyDescent="0.25">
      <c r="C53" s="109" t="s">
        <v>102</v>
      </c>
      <c r="D53" s="109"/>
    </row>
    <row r="62" spans="3:11" x14ac:dyDescent="0.25">
      <c r="C62" s="123" t="s">
        <v>52</v>
      </c>
      <c r="D62" s="123"/>
      <c r="E62" s="123"/>
      <c r="F62" s="123"/>
      <c r="H62" s="123" t="s">
        <v>52</v>
      </c>
      <c r="I62" s="123"/>
      <c r="J62" s="123"/>
      <c r="K62" s="123"/>
    </row>
    <row r="63" spans="3:11" ht="19.5" customHeight="1" x14ac:dyDescent="0.25">
      <c r="C63" s="84" t="s">
        <v>32</v>
      </c>
      <c r="D63" s="68"/>
      <c r="E63" s="68"/>
      <c r="F63" s="68"/>
      <c r="H63" s="84" t="s">
        <v>32</v>
      </c>
      <c r="I63" s="68"/>
      <c r="J63" s="68"/>
      <c r="K63" s="68"/>
    </row>
    <row r="64" spans="3:11" x14ac:dyDescent="0.25">
      <c r="C64" s="125" t="s">
        <v>54</v>
      </c>
      <c r="D64" s="125"/>
      <c r="E64" s="125"/>
      <c r="F64" s="125"/>
      <c r="H64" s="125" t="s">
        <v>54</v>
      </c>
      <c r="I64" s="125"/>
      <c r="J64" s="125"/>
      <c r="K64" s="125"/>
    </row>
    <row r="65" spans="3:11" x14ac:dyDescent="0.25">
      <c r="C65" s="124" t="s">
        <v>79</v>
      </c>
      <c r="D65" s="124"/>
      <c r="E65" s="130" t="s">
        <v>33</v>
      </c>
      <c r="F65" s="130"/>
      <c r="H65" s="130" t="s">
        <v>79</v>
      </c>
      <c r="I65" s="130"/>
      <c r="J65" s="130" t="s">
        <v>33</v>
      </c>
      <c r="K65" s="130"/>
    </row>
    <row r="66" spans="3:11" x14ac:dyDescent="0.25">
      <c r="C66" s="124" t="s">
        <v>107</v>
      </c>
      <c r="D66" s="124"/>
      <c r="E66" s="68" t="s">
        <v>95</v>
      </c>
      <c r="F66" s="68"/>
      <c r="H66" s="68" t="s">
        <v>107</v>
      </c>
      <c r="I66" s="68" t="s">
        <v>87</v>
      </c>
      <c r="J66" s="68" t="s">
        <v>95</v>
      </c>
      <c r="K66" s="68"/>
    </row>
    <row r="67" spans="3:11" x14ac:dyDescent="0.25">
      <c r="C67" s="80" t="s">
        <v>80</v>
      </c>
      <c r="D67" s="73"/>
      <c r="E67" s="73"/>
      <c r="F67" s="73"/>
      <c r="H67" s="80" t="s">
        <v>80</v>
      </c>
      <c r="I67" s="73"/>
      <c r="J67" s="73"/>
      <c r="K67" s="73"/>
    </row>
    <row r="68" spans="3:11" ht="6" customHeight="1" x14ac:dyDescent="0.25">
      <c r="C68" s="62"/>
      <c r="D68" s="62"/>
      <c r="E68" s="62"/>
      <c r="F68" s="62"/>
      <c r="H68" s="62"/>
      <c r="I68" s="62"/>
      <c r="J68" s="62"/>
      <c r="K68" s="62"/>
    </row>
    <row r="69" spans="3:11" x14ac:dyDescent="0.25">
      <c r="C69" s="123" t="s">
        <v>55</v>
      </c>
      <c r="D69" s="123"/>
      <c r="E69" s="123"/>
      <c r="F69" s="123"/>
      <c r="H69" s="123" t="s">
        <v>55</v>
      </c>
      <c r="I69" s="123"/>
      <c r="J69" s="123"/>
      <c r="K69" s="123"/>
    </row>
    <row r="70" spans="3:11" x14ac:dyDescent="0.25">
      <c r="C70" s="124" t="s">
        <v>82</v>
      </c>
      <c r="D70" s="124"/>
      <c r="E70" s="68" t="s">
        <v>35</v>
      </c>
      <c r="F70" s="68"/>
      <c r="H70" s="130" t="s">
        <v>82</v>
      </c>
      <c r="I70" s="130"/>
      <c r="J70" s="68" t="s">
        <v>35</v>
      </c>
      <c r="K70" s="68"/>
    </row>
    <row r="71" spans="3:11" x14ac:dyDescent="0.25">
      <c r="C71" s="68" t="s">
        <v>106</v>
      </c>
      <c r="D71" s="68"/>
      <c r="E71" s="68" t="s">
        <v>96</v>
      </c>
      <c r="F71" s="68"/>
      <c r="H71" s="68" t="s">
        <v>97</v>
      </c>
      <c r="I71" s="68"/>
      <c r="J71" s="68" t="s">
        <v>96</v>
      </c>
      <c r="K71" s="68"/>
    </row>
    <row r="72" spans="3:11" ht="14.25" customHeight="1" x14ac:dyDescent="0.25">
      <c r="C72" s="80" t="s">
        <v>81</v>
      </c>
      <c r="D72" s="73"/>
      <c r="E72" s="73"/>
      <c r="F72" s="73"/>
      <c r="H72" s="80" t="s">
        <v>81</v>
      </c>
      <c r="I72" s="73"/>
      <c r="J72" s="73"/>
      <c r="K72" s="73"/>
    </row>
    <row r="73" spans="3:11" hidden="1" x14ac:dyDescent="0.25">
      <c r="C73" s="62"/>
      <c r="D73" s="62"/>
      <c r="E73" s="62"/>
      <c r="F73" s="62"/>
      <c r="H73" s="62"/>
      <c r="I73" s="62"/>
      <c r="J73" s="62"/>
      <c r="K73" s="62"/>
    </row>
    <row r="74" spans="3:11" ht="6" customHeight="1" x14ac:dyDescent="0.25">
      <c r="C74" s="62"/>
      <c r="D74" s="62"/>
      <c r="E74" s="62"/>
      <c r="F74" s="62"/>
      <c r="H74" s="62"/>
      <c r="I74" s="62"/>
      <c r="J74" s="62"/>
      <c r="K74" s="62"/>
    </row>
    <row r="75" spans="3:11" x14ac:dyDescent="0.25">
      <c r="C75" s="123" t="s">
        <v>56</v>
      </c>
      <c r="D75" s="123"/>
      <c r="E75" s="123"/>
      <c r="F75" s="123"/>
      <c r="H75" s="123" t="s">
        <v>56</v>
      </c>
      <c r="I75" s="123"/>
      <c r="J75" s="123"/>
      <c r="K75" s="123"/>
    </row>
    <row r="76" spans="3:11" x14ac:dyDescent="0.25">
      <c r="C76" s="68" t="s">
        <v>86</v>
      </c>
      <c r="D76" s="68"/>
      <c r="E76" s="68"/>
      <c r="F76" s="68"/>
      <c r="H76" s="68" t="s">
        <v>86</v>
      </c>
      <c r="I76" s="68"/>
      <c r="J76" s="68"/>
      <c r="K76" s="68"/>
    </row>
    <row r="77" spans="3:11" x14ac:dyDescent="0.25">
      <c r="C77" s="68" t="s">
        <v>105</v>
      </c>
      <c r="D77" s="68"/>
      <c r="E77" s="68" t="s">
        <v>99</v>
      </c>
      <c r="F77" s="68"/>
      <c r="H77" s="68" t="s">
        <v>98</v>
      </c>
      <c r="I77" s="68"/>
      <c r="J77" s="68" t="s">
        <v>99</v>
      </c>
      <c r="K77" s="68"/>
    </row>
    <row r="78" spans="3:11" x14ac:dyDescent="0.25">
      <c r="C78" s="80" t="s">
        <v>100</v>
      </c>
      <c r="D78" s="73"/>
      <c r="E78" s="73"/>
      <c r="F78" s="73"/>
      <c r="H78" s="80" t="s">
        <v>100</v>
      </c>
      <c r="I78" s="73"/>
      <c r="J78" s="73"/>
      <c r="K78" s="73"/>
    </row>
    <row r="79" spans="3:11" ht="5.25" customHeight="1" x14ac:dyDescent="0.25">
      <c r="C79" s="62"/>
      <c r="D79" s="62"/>
      <c r="E79" s="62"/>
      <c r="F79" s="62"/>
      <c r="H79" s="62"/>
      <c r="I79" s="62"/>
      <c r="J79" s="62"/>
      <c r="K79" s="62"/>
    </row>
    <row r="80" spans="3:11" ht="30.75" customHeight="1" x14ac:dyDescent="0.25">
      <c r="C80" s="109" t="s">
        <v>59</v>
      </c>
      <c r="D80" s="109"/>
      <c r="E80" s="109"/>
      <c r="F80" s="109"/>
      <c r="H80" s="109" t="s">
        <v>59</v>
      </c>
      <c r="I80" s="109"/>
      <c r="J80" s="109"/>
      <c r="K80" s="109"/>
    </row>
    <row r="85" spans="2:8" x14ac:dyDescent="0.25">
      <c r="B85">
        <v>2014</v>
      </c>
      <c r="C85" t="s">
        <v>89</v>
      </c>
      <c r="E85" s="89">
        <v>130597.5</v>
      </c>
      <c r="G85" t="s">
        <v>90</v>
      </c>
    </row>
    <row r="86" spans="2:8" x14ac:dyDescent="0.25">
      <c r="F86">
        <v>2015</v>
      </c>
      <c r="G86" s="89">
        <v>275147</v>
      </c>
      <c r="H86">
        <v>2.29</v>
      </c>
    </row>
    <row r="87" spans="2:8" x14ac:dyDescent="0.25">
      <c r="F87">
        <v>2014</v>
      </c>
      <c r="G87" s="89">
        <v>130597.5</v>
      </c>
      <c r="H87">
        <v>1.28</v>
      </c>
    </row>
    <row r="88" spans="2:8" x14ac:dyDescent="0.25">
      <c r="F88">
        <v>2013</v>
      </c>
      <c r="G88" s="89">
        <v>91832.97</v>
      </c>
      <c r="H88">
        <v>1.1000000000000001</v>
      </c>
    </row>
    <row r="89" spans="2:8" x14ac:dyDescent="0.25">
      <c r="F89">
        <v>2012</v>
      </c>
      <c r="G89" s="89">
        <v>86686.32</v>
      </c>
      <c r="H89">
        <v>1.41</v>
      </c>
    </row>
    <row r="90" spans="2:8" x14ac:dyDescent="0.25">
      <c r="F90">
        <v>2011</v>
      </c>
      <c r="G90" s="89">
        <v>63487</v>
      </c>
      <c r="H90">
        <v>1.19</v>
      </c>
    </row>
    <row r="91" spans="2:8" x14ac:dyDescent="0.25">
      <c r="G91" s="89"/>
    </row>
    <row r="93" spans="2:8" x14ac:dyDescent="0.25">
      <c r="C93" t="s">
        <v>46</v>
      </c>
      <c r="F93">
        <v>2.4300000000000002</v>
      </c>
      <c r="G93">
        <v>2015</v>
      </c>
    </row>
    <row r="94" spans="2:8" x14ac:dyDescent="0.25">
      <c r="F94">
        <v>2.41</v>
      </c>
      <c r="G94">
        <v>2014</v>
      </c>
    </row>
    <row r="95" spans="2:8" x14ac:dyDescent="0.25">
      <c r="F95">
        <v>1.73</v>
      </c>
      <c r="G95">
        <v>2013</v>
      </c>
    </row>
    <row r="96" spans="2:8" x14ac:dyDescent="0.25">
      <c r="F96">
        <v>1.51</v>
      </c>
      <c r="G96">
        <v>2012</v>
      </c>
    </row>
    <row r="97" spans="3:8" x14ac:dyDescent="0.25">
      <c r="F97">
        <v>1.41</v>
      </c>
      <c r="G97">
        <v>2011</v>
      </c>
    </row>
    <row r="99" spans="3:8" x14ac:dyDescent="0.25">
      <c r="C99" t="s">
        <v>45</v>
      </c>
      <c r="F99">
        <v>2.4</v>
      </c>
      <c r="G99">
        <v>2015</v>
      </c>
    </row>
    <row r="100" spans="3:8" x14ac:dyDescent="0.25">
      <c r="F100">
        <v>2.41</v>
      </c>
      <c r="G100">
        <v>2014</v>
      </c>
    </row>
    <row r="101" spans="3:8" x14ac:dyDescent="0.25">
      <c r="F101">
        <v>1.73</v>
      </c>
      <c r="G101">
        <v>2013</v>
      </c>
    </row>
    <row r="102" spans="3:8" ht="15" customHeight="1" x14ac:dyDescent="0.25">
      <c r="F102">
        <v>1.5</v>
      </c>
      <c r="G102">
        <v>2012</v>
      </c>
    </row>
    <row r="103" spans="3:8" x14ac:dyDescent="0.25">
      <c r="F103">
        <v>1.41</v>
      </c>
      <c r="G103">
        <v>2011</v>
      </c>
    </row>
    <row r="106" spans="3:8" x14ac:dyDescent="0.25">
      <c r="C106" t="s">
        <v>31</v>
      </c>
    </row>
    <row r="108" spans="3:8" x14ac:dyDescent="0.25">
      <c r="G108">
        <v>0.11</v>
      </c>
      <c r="H108">
        <v>2015</v>
      </c>
    </row>
    <row r="109" spans="3:8" x14ac:dyDescent="0.25">
      <c r="G109">
        <v>7.0000000000000007E-2</v>
      </c>
      <c r="H109">
        <v>2014</v>
      </c>
    </row>
    <row r="110" spans="3:8" x14ac:dyDescent="0.25">
      <c r="G110">
        <v>0.05</v>
      </c>
      <c r="H110">
        <v>2013</v>
      </c>
    </row>
    <row r="111" spans="3:8" x14ac:dyDescent="0.25">
      <c r="G111">
        <v>0</v>
      </c>
      <c r="H111">
        <v>2012</v>
      </c>
    </row>
    <row r="112" spans="3:8" x14ac:dyDescent="0.25">
      <c r="G112">
        <v>0</v>
      </c>
      <c r="H112">
        <v>2011</v>
      </c>
    </row>
    <row r="115" spans="3:10" x14ac:dyDescent="0.25">
      <c r="C115" t="s">
        <v>91</v>
      </c>
      <c r="I115">
        <v>88.51</v>
      </c>
      <c r="J115">
        <v>2015</v>
      </c>
    </row>
    <row r="116" spans="3:10" x14ac:dyDescent="0.25">
      <c r="I116">
        <v>89.53</v>
      </c>
      <c r="J116">
        <v>2014</v>
      </c>
    </row>
    <row r="117" spans="3:10" x14ac:dyDescent="0.25">
      <c r="I117">
        <v>80</v>
      </c>
      <c r="J117">
        <v>2013</v>
      </c>
    </row>
    <row r="118" spans="3:10" x14ac:dyDescent="0.25">
      <c r="I118">
        <v>83.46</v>
      </c>
      <c r="J118">
        <v>2012</v>
      </c>
    </row>
    <row r="119" spans="3:10" x14ac:dyDescent="0.25">
      <c r="I119">
        <v>83.92</v>
      </c>
      <c r="J119">
        <v>2011</v>
      </c>
    </row>
  </sheetData>
  <mergeCells count="33">
    <mergeCell ref="H69:K69"/>
    <mergeCell ref="H70:I70"/>
    <mergeCell ref="H75:K75"/>
    <mergeCell ref="N4:Q4"/>
    <mergeCell ref="C3:C4"/>
    <mergeCell ref="H62:K62"/>
    <mergeCell ref="H64:K64"/>
    <mergeCell ref="H65:I65"/>
    <mergeCell ref="J65:K65"/>
    <mergeCell ref="B3:B4"/>
    <mergeCell ref="D3:D4"/>
    <mergeCell ref="C53:D53"/>
    <mergeCell ref="C70:D70"/>
    <mergeCell ref="C69:F69"/>
    <mergeCell ref="C43:D43"/>
    <mergeCell ref="C65:D65"/>
    <mergeCell ref="E65:F65"/>
    <mergeCell ref="B2:I2"/>
    <mergeCell ref="C80:F80"/>
    <mergeCell ref="B27:H27"/>
    <mergeCell ref="B28:H28"/>
    <mergeCell ref="B31:I31"/>
    <mergeCell ref="B32:I32"/>
    <mergeCell ref="B33:I33"/>
    <mergeCell ref="B30:I30"/>
    <mergeCell ref="B35:F35"/>
    <mergeCell ref="C45:D45"/>
    <mergeCell ref="C49:D49"/>
    <mergeCell ref="C75:F75"/>
    <mergeCell ref="H80:K80"/>
    <mergeCell ref="C66:D66"/>
    <mergeCell ref="C62:F62"/>
    <mergeCell ref="C64:F6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05"/>
  <sheetViews>
    <sheetView topLeftCell="A46" workbookViewId="0">
      <selection activeCell="D49" sqref="D49"/>
    </sheetView>
  </sheetViews>
  <sheetFormatPr defaultRowHeight="15" x14ac:dyDescent="0.25"/>
  <cols>
    <col min="1" max="1" width="0.28515625" customWidth="1"/>
    <col min="2" max="2" width="14" customWidth="1"/>
    <col min="3" max="3" width="14.42578125" customWidth="1"/>
    <col min="4" max="4" width="26.140625" customWidth="1"/>
    <col min="5" max="5" width="13.7109375" customWidth="1"/>
    <col min="6" max="6" width="17.140625" customWidth="1"/>
    <col min="7" max="7" width="19.28515625" customWidth="1"/>
    <col min="8" max="8" width="17.42578125" customWidth="1"/>
    <col min="9" max="9" width="16.5703125" customWidth="1"/>
    <col min="10" max="10" width="11" customWidth="1"/>
    <col min="11" max="11" width="16" customWidth="1"/>
    <col min="12" max="12" width="15.42578125" bestFit="1" customWidth="1"/>
  </cols>
  <sheetData>
    <row r="1" spans="2:12" ht="1.5" customHeight="1" thickBot="1" x14ac:dyDescent="0.3"/>
    <row r="2" spans="2:12" x14ac:dyDescent="0.25">
      <c r="B2" s="135" t="s">
        <v>0</v>
      </c>
      <c r="C2" s="137" t="s">
        <v>18</v>
      </c>
      <c r="D2" s="137"/>
      <c r="E2" s="137"/>
      <c r="F2" s="137"/>
      <c r="I2" s="138" t="s">
        <v>9</v>
      </c>
      <c r="J2" s="139"/>
      <c r="K2" s="139"/>
      <c r="L2" s="140"/>
    </row>
    <row r="3" spans="2:12" ht="45.75" thickBot="1" x14ac:dyDescent="0.3">
      <c r="B3" s="136"/>
      <c r="C3" s="32" t="s">
        <v>14</v>
      </c>
      <c r="D3" s="32" t="s">
        <v>13</v>
      </c>
      <c r="E3" s="32" t="s">
        <v>21</v>
      </c>
      <c r="F3" s="32" t="s">
        <v>15</v>
      </c>
      <c r="I3" s="34" t="s">
        <v>16</v>
      </c>
      <c r="J3" s="34" t="s">
        <v>17</v>
      </c>
      <c r="K3" s="35" t="s">
        <v>19</v>
      </c>
      <c r="L3" s="38" t="s">
        <v>20</v>
      </c>
    </row>
    <row r="4" spans="2:12" x14ac:dyDescent="0.25">
      <c r="B4" s="6">
        <v>2017</v>
      </c>
      <c r="C4" s="11">
        <v>18.52</v>
      </c>
      <c r="D4" s="11">
        <v>0</v>
      </c>
      <c r="E4" s="47">
        <v>0</v>
      </c>
      <c r="F4" s="45">
        <v>1.3</v>
      </c>
      <c r="I4" s="39">
        <v>2004</v>
      </c>
      <c r="J4" s="36">
        <v>2.7</v>
      </c>
      <c r="K4" s="36">
        <f>75/2.7</f>
        <v>27.777777777777775</v>
      </c>
      <c r="L4" s="40">
        <f>K4*J4</f>
        <v>75</v>
      </c>
    </row>
    <row r="5" spans="2:12" x14ac:dyDescent="0.25">
      <c r="B5" s="9">
        <v>2018</v>
      </c>
      <c r="C5" s="3">
        <v>18.52</v>
      </c>
      <c r="D5" s="3">
        <v>0</v>
      </c>
      <c r="E5" s="5">
        <v>0</v>
      </c>
      <c r="F5" s="46">
        <v>1.3</v>
      </c>
      <c r="I5" s="39">
        <v>2005</v>
      </c>
      <c r="J5" s="13"/>
      <c r="K5" s="13">
        <f>3.5/2.7</f>
        <v>1.2962962962962963</v>
      </c>
      <c r="L5" s="40">
        <v>3.5</v>
      </c>
    </row>
    <row r="6" spans="2:12" x14ac:dyDescent="0.25">
      <c r="B6" s="9">
        <v>2019</v>
      </c>
      <c r="C6" s="3">
        <v>18.52</v>
      </c>
      <c r="D6" s="3">
        <v>0</v>
      </c>
      <c r="E6" s="5">
        <v>0</v>
      </c>
      <c r="F6" s="46">
        <v>1.3</v>
      </c>
      <c r="I6" s="39">
        <v>2006</v>
      </c>
      <c r="J6" s="13"/>
      <c r="K6" s="13">
        <f t="shared" ref="K6:K37" si="0">50/2.7</f>
        <v>18.518518518518519</v>
      </c>
      <c r="L6" s="40"/>
    </row>
    <row r="7" spans="2:12" x14ac:dyDescent="0.25">
      <c r="B7" s="9">
        <v>2020</v>
      </c>
      <c r="C7" s="3">
        <v>18.52</v>
      </c>
      <c r="D7" s="3">
        <v>0</v>
      </c>
      <c r="E7" s="5">
        <v>0</v>
      </c>
      <c r="F7" s="46">
        <v>1.3</v>
      </c>
      <c r="I7" s="39">
        <v>2007</v>
      </c>
      <c r="J7" s="13"/>
      <c r="K7" s="13">
        <f t="shared" si="0"/>
        <v>18.518518518518519</v>
      </c>
      <c r="L7" s="40"/>
    </row>
    <row r="8" spans="2:12" x14ac:dyDescent="0.25">
      <c r="B8" s="9">
        <v>2021</v>
      </c>
      <c r="C8" s="3">
        <v>18.52</v>
      </c>
      <c r="D8" s="3">
        <v>0</v>
      </c>
      <c r="E8" s="5">
        <v>0</v>
      </c>
      <c r="F8" s="46">
        <v>1.3</v>
      </c>
      <c r="I8" s="39">
        <v>2008</v>
      </c>
      <c r="J8" s="13"/>
      <c r="K8" s="13">
        <f t="shared" si="0"/>
        <v>18.518518518518519</v>
      </c>
      <c r="L8" s="40"/>
    </row>
    <row r="9" spans="2:12" x14ac:dyDescent="0.25">
      <c r="B9" s="9">
        <v>2022</v>
      </c>
      <c r="C9" s="3">
        <v>18.52</v>
      </c>
      <c r="D9" s="3">
        <v>0</v>
      </c>
      <c r="E9" s="5">
        <v>0</v>
      </c>
      <c r="F9" s="46">
        <v>1.3</v>
      </c>
      <c r="I9" s="39">
        <v>2009</v>
      </c>
      <c r="J9" s="13"/>
      <c r="K9" s="13">
        <f t="shared" si="0"/>
        <v>18.518518518518519</v>
      </c>
      <c r="L9" s="40"/>
    </row>
    <row r="10" spans="2:12" x14ac:dyDescent="0.25">
      <c r="B10" s="9">
        <v>2023</v>
      </c>
      <c r="C10" s="3">
        <v>18.52</v>
      </c>
      <c r="D10" s="3">
        <v>0</v>
      </c>
      <c r="E10" s="5">
        <v>0</v>
      </c>
      <c r="F10" s="46">
        <v>1.3</v>
      </c>
      <c r="I10" s="39">
        <v>2010</v>
      </c>
      <c r="J10" s="13"/>
      <c r="K10" s="13">
        <f t="shared" si="0"/>
        <v>18.518518518518519</v>
      </c>
      <c r="L10" s="40"/>
    </row>
    <row r="11" spans="2:12" x14ac:dyDescent="0.25">
      <c r="B11" s="9">
        <v>2024</v>
      </c>
      <c r="C11" s="3">
        <v>18.52</v>
      </c>
      <c r="D11" s="3">
        <v>0</v>
      </c>
      <c r="E11" s="5">
        <v>0</v>
      </c>
      <c r="F11" s="46">
        <v>1.3</v>
      </c>
      <c r="I11" s="39">
        <v>2011</v>
      </c>
      <c r="J11" s="13"/>
      <c r="K11" s="13">
        <f t="shared" si="0"/>
        <v>18.518518518518519</v>
      </c>
      <c r="L11" s="40"/>
    </row>
    <row r="12" spans="2:12" x14ac:dyDescent="0.25">
      <c r="B12" s="9">
        <v>2025</v>
      </c>
      <c r="C12" s="3">
        <v>18.52</v>
      </c>
      <c r="D12" s="3">
        <v>0</v>
      </c>
      <c r="E12" s="5">
        <v>0</v>
      </c>
      <c r="F12" s="46">
        <v>1.3</v>
      </c>
      <c r="I12" s="39">
        <v>2012</v>
      </c>
      <c r="J12" s="13"/>
      <c r="K12" s="13">
        <f t="shared" si="0"/>
        <v>18.518518518518519</v>
      </c>
      <c r="L12" s="40"/>
    </row>
    <row r="13" spans="2:12" x14ac:dyDescent="0.25">
      <c r="B13" s="9">
        <v>2026</v>
      </c>
      <c r="C13" s="3">
        <v>18.52</v>
      </c>
      <c r="D13" s="3">
        <v>0</v>
      </c>
      <c r="E13" s="5">
        <v>0</v>
      </c>
      <c r="F13" s="46">
        <v>1.3</v>
      </c>
      <c r="I13" s="39">
        <v>2013</v>
      </c>
      <c r="J13" s="13"/>
      <c r="K13" s="13">
        <f t="shared" si="0"/>
        <v>18.518518518518519</v>
      </c>
      <c r="L13" s="40"/>
    </row>
    <row r="14" spans="2:12" x14ac:dyDescent="0.25">
      <c r="B14" s="9">
        <v>2027</v>
      </c>
      <c r="C14" s="3">
        <v>18.52</v>
      </c>
      <c r="D14" s="3">
        <v>0</v>
      </c>
      <c r="E14" s="5">
        <v>0</v>
      </c>
      <c r="F14" s="46">
        <v>1.3</v>
      </c>
      <c r="I14" s="39">
        <v>2014</v>
      </c>
      <c r="J14" s="13"/>
      <c r="K14" s="13">
        <f t="shared" si="0"/>
        <v>18.518518518518519</v>
      </c>
      <c r="L14" s="40"/>
    </row>
    <row r="15" spans="2:12" x14ac:dyDescent="0.25">
      <c r="B15" s="9">
        <v>2028</v>
      </c>
      <c r="C15" s="3">
        <v>18.52</v>
      </c>
      <c r="D15" s="3">
        <v>0</v>
      </c>
      <c r="E15" s="5">
        <v>0</v>
      </c>
      <c r="F15" s="46">
        <v>1.3</v>
      </c>
      <c r="I15" s="39">
        <v>2015</v>
      </c>
      <c r="J15" s="13"/>
      <c r="K15" s="13">
        <f t="shared" si="0"/>
        <v>18.518518518518519</v>
      </c>
      <c r="L15" s="40"/>
    </row>
    <row r="16" spans="2:12" x14ac:dyDescent="0.25">
      <c r="B16" s="9">
        <v>2029</v>
      </c>
      <c r="C16" s="3">
        <v>18.52</v>
      </c>
      <c r="D16" s="3">
        <v>0</v>
      </c>
      <c r="E16" s="5">
        <v>0</v>
      </c>
      <c r="F16" s="46">
        <v>1.3</v>
      </c>
      <c r="I16" s="39">
        <v>2016</v>
      </c>
      <c r="J16" s="13"/>
      <c r="K16" s="13">
        <f t="shared" si="0"/>
        <v>18.518518518518519</v>
      </c>
      <c r="L16" s="40"/>
    </row>
    <row r="17" spans="2:12" x14ac:dyDescent="0.25">
      <c r="B17" s="9">
        <v>2030</v>
      </c>
      <c r="C17" s="3">
        <v>18.52</v>
      </c>
      <c r="D17" s="3">
        <v>0</v>
      </c>
      <c r="E17" s="5">
        <v>0</v>
      </c>
      <c r="F17" s="46">
        <v>1.3</v>
      </c>
      <c r="I17" s="39">
        <v>2017</v>
      </c>
      <c r="J17" s="13">
        <v>3.15</v>
      </c>
      <c r="K17" s="13">
        <f t="shared" si="0"/>
        <v>18.518518518518519</v>
      </c>
      <c r="L17" s="40">
        <f>K17*J17</f>
        <v>58.333333333333336</v>
      </c>
    </row>
    <row r="18" spans="2:12" x14ac:dyDescent="0.25">
      <c r="B18" s="9">
        <v>2031</v>
      </c>
      <c r="C18" s="3">
        <v>18.52</v>
      </c>
      <c r="D18" s="3">
        <v>0</v>
      </c>
      <c r="E18" s="5">
        <v>0</v>
      </c>
      <c r="F18" s="46">
        <v>1.3</v>
      </c>
      <c r="I18" s="39">
        <v>2018</v>
      </c>
      <c r="J18" s="13"/>
      <c r="K18" s="13">
        <f t="shared" si="0"/>
        <v>18.518518518518519</v>
      </c>
      <c r="L18" s="40"/>
    </row>
    <row r="19" spans="2:12" x14ac:dyDescent="0.25">
      <c r="B19" s="9">
        <v>2032</v>
      </c>
      <c r="C19" s="3">
        <v>18.52</v>
      </c>
      <c r="D19" s="3">
        <v>0</v>
      </c>
      <c r="E19" s="5">
        <v>0</v>
      </c>
      <c r="F19" s="46">
        <v>1.3</v>
      </c>
      <c r="I19" s="39">
        <v>2019</v>
      </c>
      <c r="J19" s="13"/>
      <c r="K19" s="13">
        <f t="shared" si="0"/>
        <v>18.518518518518519</v>
      </c>
      <c r="L19" s="40"/>
    </row>
    <row r="20" spans="2:12" x14ac:dyDescent="0.25">
      <c r="B20" s="9">
        <v>2033</v>
      </c>
      <c r="C20" s="3">
        <v>18.52</v>
      </c>
      <c r="D20" s="3">
        <v>0</v>
      </c>
      <c r="E20" s="5">
        <v>0</v>
      </c>
      <c r="F20" s="46">
        <v>1.3</v>
      </c>
      <c r="I20" s="39">
        <v>2020</v>
      </c>
      <c r="J20" s="13"/>
      <c r="K20" s="13">
        <f>50/2.7</f>
        <v>18.518518518518519</v>
      </c>
      <c r="L20" s="40"/>
    </row>
    <row r="21" spans="2:12" x14ac:dyDescent="0.25">
      <c r="B21" s="9">
        <v>2034</v>
      </c>
      <c r="C21" s="3">
        <v>18.52</v>
      </c>
      <c r="D21" s="3">
        <v>0</v>
      </c>
      <c r="E21" s="5">
        <v>0</v>
      </c>
      <c r="F21" s="46">
        <v>1.3</v>
      </c>
      <c r="I21" s="39">
        <v>2021</v>
      </c>
      <c r="J21" s="13"/>
      <c r="K21" s="13">
        <f t="shared" si="0"/>
        <v>18.518518518518519</v>
      </c>
      <c r="L21" s="40"/>
    </row>
    <row r="22" spans="2:12" x14ac:dyDescent="0.25">
      <c r="B22" s="9">
        <v>2035</v>
      </c>
      <c r="C22" s="3">
        <v>18.52</v>
      </c>
      <c r="D22" s="3">
        <v>0</v>
      </c>
      <c r="E22" s="5">
        <v>0</v>
      </c>
      <c r="F22" s="46">
        <v>1.3</v>
      </c>
      <c r="I22" s="39">
        <v>2022</v>
      </c>
      <c r="J22" s="13"/>
      <c r="K22" s="13">
        <f t="shared" si="0"/>
        <v>18.518518518518519</v>
      </c>
      <c r="L22" s="40"/>
    </row>
    <row r="23" spans="2:12" x14ac:dyDescent="0.25">
      <c r="B23" s="9">
        <v>2036</v>
      </c>
      <c r="C23" s="3">
        <v>18.52</v>
      </c>
      <c r="D23" s="3">
        <v>0</v>
      </c>
      <c r="E23" s="5">
        <v>0</v>
      </c>
      <c r="F23" s="46">
        <v>1.3</v>
      </c>
      <c r="I23" s="39">
        <v>2023</v>
      </c>
      <c r="J23" s="13"/>
      <c r="K23" s="13">
        <f t="shared" si="0"/>
        <v>18.518518518518519</v>
      </c>
      <c r="L23" s="40"/>
    </row>
    <row r="24" spans="2:12" x14ac:dyDescent="0.25">
      <c r="B24" s="9">
        <v>2037</v>
      </c>
      <c r="C24" s="3">
        <v>18.52</v>
      </c>
      <c r="D24" s="3">
        <v>0</v>
      </c>
      <c r="E24" s="5">
        <v>0</v>
      </c>
      <c r="F24" s="46">
        <v>1.3</v>
      </c>
      <c r="I24" s="39">
        <v>2024</v>
      </c>
      <c r="J24" s="13"/>
      <c r="K24" s="13">
        <f t="shared" si="0"/>
        <v>18.518518518518519</v>
      </c>
      <c r="L24" s="40"/>
    </row>
    <row r="25" spans="2:12" ht="15.75" thickBot="1" x14ac:dyDescent="0.3">
      <c r="B25" s="14" t="s">
        <v>10</v>
      </c>
      <c r="C25" s="15">
        <f>SUM(C4:C24)</f>
        <v>388.9199999999999</v>
      </c>
      <c r="D25" s="15">
        <f t="shared" ref="D25:F25" si="1">SUM(D4:D24)</f>
        <v>0</v>
      </c>
      <c r="E25" s="15">
        <f t="shared" si="1"/>
        <v>0</v>
      </c>
      <c r="F25" s="15">
        <f t="shared" si="1"/>
        <v>27.300000000000008</v>
      </c>
      <c r="I25" s="39">
        <v>2025</v>
      </c>
      <c r="J25" s="13"/>
      <c r="K25" s="13">
        <f t="shared" si="0"/>
        <v>18.518518518518519</v>
      </c>
      <c r="L25" s="40"/>
    </row>
    <row r="26" spans="2:12" x14ac:dyDescent="0.25">
      <c r="I26" s="39">
        <v>2026</v>
      </c>
      <c r="J26" s="13"/>
      <c r="K26" s="13">
        <f t="shared" si="0"/>
        <v>18.518518518518519</v>
      </c>
      <c r="L26" s="40"/>
    </row>
    <row r="27" spans="2:12" x14ac:dyDescent="0.25">
      <c r="I27" s="39">
        <v>2027</v>
      </c>
      <c r="J27" s="13"/>
      <c r="K27" s="13">
        <f t="shared" si="0"/>
        <v>18.518518518518519</v>
      </c>
      <c r="L27" s="40"/>
    </row>
    <row r="28" spans="2:12" x14ac:dyDescent="0.25">
      <c r="I28" s="39">
        <v>2028</v>
      </c>
      <c r="J28" s="13"/>
      <c r="K28" s="13">
        <f t="shared" si="0"/>
        <v>18.518518518518519</v>
      </c>
      <c r="L28" s="40"/>
    </row>
    <row r="29" spans="2:12" x14ac:dyDescent="0.25">
      <c r="I29" s="39">
        <v>2029</v>
      </c>
      <c r="J29" s="13"/>
      <c r="K29" s="13">
        <f t="shared" si="0"/>
        <v>18.518518518518519</v>
      </c>
      <c r="L29" s="40"/>
    </row>
    <row r="30" spans="2:12" x14ac:dyDescent="0.25">
      <c r="I30" s="39">
        <v>2030</v>
      </c>
      <c r="J30" s="13"/>
      <c r="K30" s="13">
        <f t="shared" si="0"/>
        <v>18.518518518518519</v>
      </c>
      <c r="L30" s="40"/>
    </row>
    <row r="31" spans="2:12" x14ac:dyDescent="0.25">
      <c r="I31" s="39">
        <v>2031</v>
      </c>
      <c r="J31" s="13"/>
      <c r="K31" s="13">
        <f t="shared" si="0"/>
        <v>18.518518518518519</v>
      </c>
      <c r="L31" s="40"/>
    </row>
    <row r="32" spans="2:12" x14ac:dyDescent="0.25">
      <c r="I32" s="39">
        <v>2032</v>
      </c>
      <c r="J32" s="13"/>
      <c r="K32" s="13">
        <f t="shared" si="0"/>
        <v>18.518518518518519</v>
      </c>
      <c r="L32" s="40"/>
    </row>
    <row r="33" spans="2:12" x14ac:dyDescent="0.25">
      <c r="I33" s="39">
        <v>2033</v>
      </c>
      <c r="J33" s="13"/>
      <c r="K33" s="13">
        <f t="shared" si="0"/>
        <v>18.518518518518519</v>
      </c>
      <c r="L33" s="40"/>
    </row>
    <row r="34" spans="2:12" x14ac:dyDescent="0.25">
      <c r="I34" s="39">
        <v>2034</v>
      </c>
      <c r="J34" s="13"/>
      <c r="K34" s="13">
        <f>50/2.7</f>
        <v>18.518518518518519</v>
      </c>
      <c r="L34" s="40"/>
    </row>
    <row r="35" spans="2:12" x14ac:dyDescent="0.25">
      <c r="I35" s="39">
        <v>2035</v>
      </c>
      <c r="J35" s="13"/>
      <c r="K35" s="13">
        <f t="shared" si="0"/>
        <v>18.518518518518519</v>
      </c>
      <c r="L35" s="40"/>
    </row>
    <row r="36" spans="2:12" x14ac:dyDescent="0.25">
      <c r="I36" s="41">
        <v>2036</v>
      </c>
      <c r="J36" s="37"/>
      <c r="K36" s="37">
        <f t="shared" si="0"/>
        <v>18.518518518518519</v>
      </c>
      <c r="L36" s="42"/>
    </row>
    <row r="37" spans="2:12" x14ac:dyDescent="0.25">
      <c r="I37" s="43">
        <v>2037</v>
      </c>
      <c r="J37" s="44"/>
      <c r="K37" s="44">
        <f t="shared" si="0"/>
        <v>18.518518518518519</v>
      </c>
      <c r="L37" s="33"/>
    </row>
    <row r="43" spans="2:12" x14ac:dyDescent="0.25">
      <c r="B43" s="141" t="s">
        <v>23</v>
      </c>
      <c r="C43" s="123"/>
      <c r="D43" s="123"/>
      <c r="E43" s="123"/>
      <c r="F43" s="123"/>
      <c r="G43" s="123"/>
      <c r="H43" s="123"/>
      <c r="I43" s="123"/>
    </row>
    <row r="44" spans="2:12" ht="18" hidden="1" customHeight="1" x14ac:dyDescent="0.25">
      <c r="B44" s="126" t="s">
        <v>0</v>
      </c>
      <c r="C44" s="128" t="s">
        <v>49</v>
      </c>
      <c r="D44" s="128" t="s">
        <v>70</v>
      </c>
      <c r="E44" s="69"/>
      <c r="F44" s="69"/>
      <c r="G44" s="69"/>
      <c r="H44" s="69"/>
      <c r="I44" s="69"/>
    </row>
    <row r="45" spans="2:12" ht="92.25" customHeight="1" x14ac:dyDescent="0.25">
      <c r="B45" s="127"/>
      <c r="C45" s="129"/>
      <c r="D45" s="129"/>
      <c r="E45" s="61" t="s">
        <v>61</v>
      </c>
      <c r="F45" s="61" t="s">
        <v>62</v>
      </c>
      <c r="G45" s="61" t="s">
        <v>51</v>
      </c>
      <c r="H45" s="61" t="s">
        <v>71</v>
      </c>
      <c r="I45" s="61" t="s">
        <v>69</v>
      </c>
    </row>
    <row r="46" spans="2:12" x14ac:dyDescent="0.25">
      <c r="B46" s="65">
        <v>2017</v>
      </c>
      <c r="C46" s="90">
        <v>50538</v>
      </c>
      <c r="D46" s="66">
        <f>(C46*0.11)/42225</f>
        <v>0.13165612788632328</v>
      </c>
      <c r="E46" s="67">
        <f>(C46*0.648)/42225</f>
        <v>0.77557428063943157</v>
      </c>
      <c r="F46" s="67">
        <f>(C46*0.721)/42225</f>
        <v>0.86294607460035522</v>
      </c>
      <c r="G46" s="65">
        <v>0</v>
      </c>
      <c r="H46" s="67">
        <v>29.63</v>
      </c>
      <c r="I46" s="67">
        <v>1.48</v>
      </c>
      <c r="J46">
        <f>I46*C46</f>
        <v>74796.240000000005</v>
      </c>
    </row>
    <row r="47" spans="2:12" x14ac:dyDescent="0.25">
      <c r="B47" s="65">
        <v>2018</v>
      </c>
      <c r="C47" s="90">
        <v>51621</v>
      </c>
      <c r="D47" s="66">
        <f>(C47*0.11)/42225</f>
        <v>0.13447744227353464</v>
      </c>
      <c r="E47" s="67">
        <f>(C47*0.648)/42225</f>
        <v>0.7921943872113677</v>
      </c>
      <c r="F47" s="67">
        <f>(C47*0.721)/42225</f>
        <v>0.88143850799289525</v>
      </c>
      <c r="G47" s="65">
        <v>0</v>
      </c>
      <c r="H47" s="67">
        <v>29.63</v>
      </c>
      <c r="I47" s="67">
        <v>1.48</v>
      </c>
      <c r="J47">
        <f t="shared" ref="J47:J66" si="2">I47*C47</f>
        <v>76399.08</v>
      </c>
    </row>
    <row r="48" spans="2:12" x14ac:dyDescent="0.25">
      <c r="B48" s="65">
        <v>2019</v>
      </c>
      <c r="C48" s="90">
        <v>52727</v>
      </c>
      <c r="D48" s="66">
        <f t="shared" ref="D48:D66" si="3">(C48*0.11)/42225</f>
        <v>0.13735867377146241</v>
      </c>
      <c r="E48" s="67">
        <f t="shared" ref="E48:E66" si="4">(C48*0.648)/42225</f>
        <v>0.80916746003552398</v>
      </c>
      <c r="F48" s="67">
        <f t="shared" ref="F48:F66" si="5">(C48*0.721)/42225</f>
        <v>0.90032367081113085</v>
      </c>
      <c r="G48" s="65">
        <v>0</v>
      </c>
      <c r="H48" s="67">
        <v>29.63</v>
      </c>
      <c r="I48" s="67">
        <v>1.48</v>
      </c>
      <c r="J48">
        <f t="shared" si="2"/>
        <v>78035.959999999992</v>
      </c>
    </row>
    <row r="49" spans="2:10" x14ac:dyDescent="0.25">
      <c r="B49" s="65">
        <v>2020</v>
      </c>
      <c r="C49" s="90">
        <v>53857</v>
      </c>
      <c r="D49" s="66">
        <f t="shared" si="3"/>
        <v>0.14030242747187685</v>
      </c>
      <c r="E49" s="67">
        <f t="shared" si="4"/>
        <v>0.82650884547069281</v>
      </c>
      <c r="F49" s="67">
        <f t="shared" si="5"/>
        <v>0.91961863824748369</v>
      </c>
      <c r="G49" s="65">
        <v>0</v>
      </c>
      <c r="H49" s="67">
        <v>29.63</v>
      </c>
      <c r="I49" s="67">
        <v>1.48</v>
      </c>
      <c r="J49">
        <f t="shared" si="2"/>
        <v>79708.36</v>
      </c>
    </row>
    <row r="50" spans="2:10" x14ac:dyDescent="0.25">
      <c r="B50" s="65">
        <v>2021</v>
      </c>
      <c r="C50" s="90">
        <v>55010</v>
      </c>
      <c r="D50" s="66">
        <f t="shared" si="3"/>
        <v>0.14330609828300769</v>
      </c>
      <c r="E50" s="67">
        <f t="shared" si="4"/>
        <v>0.84420319715808179</v>
      </c>
      <c r="F50" s="67">
        <f t="shared" si="5"/>
        <v>0.93930633510953221</v>
      </c>
      <c r="G50" s="65">
        <v>0</v>
      </c>
      <c r="H50" s="67">
        <v>29.63</v>
      </c>
      <c r="I50" s="67">
        <v>1.48</v>
      </c>
      <c r="J50">
        <f t="shared" si="2"/>
        <v>81414.8</v>
      </c>
    </row>
    <row r="51" spans="2:10" x14ac:dyDescent="0.25">
      <c r="B51" s="65">
        <v>2022</v>
      </c>
      <c r="C51" s="90">
        <v>56189</v>
      </c>
      <c r="D51" s="66">
        <f t="shared" si="3"/>
        <v>0.14637750148016579</v>
      </c>
      <c r="E51" s="67">
        <f t="shared" si="4"/>
        <v>0.86229655417406759</v>
      </c>
      <c r="F51" s="67">
        <f t="shared" si="5"/>
        <v>0.95943798697454119</v>
      </c>
      <c r="G51" s="65">
        <v>0</v>
      </c>
      <c r="H51" s="67">
        <v>29.63</v>
      </c>
      <c r="I51" s="67">
        <v>1.48</v>
      </c>
      <c r="J51">
        <f t="shared" si="2"/>
        <v>83159.72</v>
      </c>
    </row>
    <row r="52" spans="2:10" x14ac:dyDescent="0.25">
      <c r="B52" s="65">
        <v>2023</v>
      </c>
      <c r="C52" s="90">
        <v>57393</v>
      </c>
      <c r="D52" s="66">
        <f t="shared" si="3"/>
        <v>0.14951403197158084</v>
      </c>
      <c r="E52" s="67">
        <f t="shared" si="4"/>
        <v>0.88077357015985802</v>
      </c>
      <c r="F52" s="67">
        <f t="shared" si="5"/>
        <v>0.97999651865008874</v>
      </c>
      <c r="G52" s="65">
        <v>0</v>
      </c>
      <c r="H52" s="67">
        <v>29.63</v>
      </c>
      <c r="I52" s="67">
        <v>1.48</v>
      </c>
      <c r="J52">
        <f t="shared" si="2"/>
        <v>84941.64</v>
      </c>
    </row>
    <row r="53" spans="2:10" x14ac:dyDescent="0.25">
      <c r="B53" s="65">
        <v>2024</v>
      </c>
      <c r="C53" s="90">
        <v>58623</v>
      </c>
      <c r="D53" s="66">
        <f t="shared" si="3"/>
        <v>0.15271829484902308</v>
      </c>
      <c r="E53" s="67">
        <f t="shared" si="4"/>
        <v>0.89964959147424506</v>
      </c>
      <c r="F53" s="67">
        <f t="shared" si="5"/>
        <v>1.0009990053285966</v>
      </c>
      <c r="G53" s="65">
        <v>0</v>
      </c>
      <c r="H53" s="67">
        <v>29.63</v>
      </c>
      <c r="I53" s="67">
        <v>1.48</v>
      </c>
      <c r="J53">
        <f t="shared" si="2"/>
        <v>86762.04</v>
      </c>
    </row>
    <row r="54" spans="2:10" x14ac:dyDescent="0.25">
      <c r="B54" s="65">
        <v>2025</v>
      </c>
      <c r="C54" s="90">
        <v>59879</v>
      </c>
      <c r="D54" s="66">
        <f t="shared" si="3"/>
        <v>0.1559902901124926</v>
      </c>
      <c r="E54" s="67">
        <f t="shared" si="4"/>
        <v>0.91892461811722925</v>
      </c>
      <c r="F54" s="67">
        <f t="shared" si="5"/>
        <v>1.022445447010065</v>
      </c>
      <c r="G54" s="65">
        <v>0</v>
      </c>
      <c r="H54" s="67">
        <v>29.63</v>
      </c>
      <c r="I54" s="67">
        <v>1.48</v>
      </c>
      <c r="J54">
        <f t="shared" si="2"/>
        <v>88620.92</v>
      </c>
    </row>
    <row r="55" spans="2:10" x14ac:dyDescent="0.25">
      <c r="B55" s="65">
        <v>2026</v>
      </c>
      <c r="C55" s="90">
        <v>61162</v>
      </c>
      <c r="D55" s="66">
        <f t="shared" si="3"/>
        <v>0.15933262285375963</v>
      </c>
      <c r="E55" s="67">
        <f t="shared" si="4"/>
        <v>0.93861399644760224</v>
      </c>
      <c r="F55" s="67">
        <f t="shared" si="5"/>
        <v>1.0443529188869152</v>
      </c>
      <c r="G55" s="65">
        <v>0</v>
      </c>
      <c r="H55" s="67">
        <v>29.63</v>
      </c>
      <c r="I55" s="67">
        <v>1.48</v>
      </c>
      <c r="J55">
        <f t="shared" si="2"/>
        <v>90519.76</v>
      </c>
    </row>
    <row r="56" spans="2:10" x14ac:dyDescent="0.25">
      <c r="B56" s="65">
        <v>2027</v>
      </c>
      <c r="C56" s="90">
        <v>62472</v>
      </c>
      <c r="D56" s="66">
        <f t="shared" si="3"/>
        <v>0.16274529307282415</v>
      </c>
      <c r="E56" s="67">
        <f t="shared" si="4"/>
        <v>0.95871772646536413</v>
      </c>
      <c r="F56" s="67">
        <f t="shared" si="5"/>
        <v>1.0667214209591473</v>
      </c>
      <c r="G56" s="65">
        <v>0</v>
      </c>
      <c r="H56" s="67">
        <v>29.63</v>
      </c>
      <c r="I56" s="67">
        <v>1.48</v>
      </c>
      <c r="J56">
        <f t="shared" si="2"/>
        <v>92458.559999999998</v>
      </c>
    </row>
    <row r="57" spans="2:10" x14ac:dyDescent="0.25">
      <c r="B57" s="65">
        <v>2028</v>
      </c>
      <c r="C57" s="90">
        <v>63811</v>
      </c>
      <c r="D57" s="66">
        <f t="shared" si="3"/>
        <v>0.16623351095322675</v>
      </c>
      <c r="E57" s="67">
        <f t="shared" si="4"/>
        <v>0.97926650088809941</v>
      </c>
      <c r="F57" s="67">
        <f t="shared" si="5"/>
        <v>1.0895851036116044</v>
      </c>
      <c r="G57" s="65">
        <v>0</v>
      </c>
      <c r="H57" s="67">
        <v>29.63</v>
      </c>
      <c r="I57" s="67">
        <v>1.48</v>
      </c>
      <c r="J57">
        <f t="shared" si="2"/>
        <v>94440.28</v>
      </c>
    </row>
    <row r="58" spans="2:10" x14ac:dyDescent="0.25">
      <c r="B58" s="65">
        <v>2029</v>
      </c>
      <c r="C58" s="90">
        <v>65178</v>
      </c>
      <c r="D58" s="66">
        <f t="shared" si="3"/>
        <v>0.16979467140319715</v>
      </c>
      <c r="E58" s="67">
        <f t="shared" si="4"/>
        <v>1.000244973357016</v>
      </c>
      <c r="F58" s="67">
        <f t="shared" si="5"/>
        <v>1.1129268916518649</v>
      </c>
      <c r="G58" s="65">
        <v>0</v>
      </c>
      <c r="H58" s="67">
        <v>29.63</v>
      </c>
      <c r="I58" s="67">
        <v>1.48</v>
      </c>
      <c r="J58">
        <f t="shared" si="2"/>
        <v>96463.44</v>
      </c>
    </row>
    <row r="59" spans="2:10" x14ac:dyDescent="0.25">
      <c r="B59" s="65">
        <v>2030</v>
      </c>
      <c r="C59" s="90">
        <v>66575</v>
      </c>
      <c r="D59" s="66">
        <f t="shared" si="3"/>
        <v>0.1734339846062759</v>
      </c>
      <c r="E59" s="67">
        <f t="shared" si="4"/>
        <v>1.0216838365896981</v>
      </c>
      <c r="F59" s="67">
        <f t="shared" si="5"/>
        <v>1.136780935464772</v>
      </c>
      <c r="G59" s="65">
        <v>0</v>
      </c>
      <c r="H59" s="67">
        <v>29.63</v>
      </c>
      <c r="I59" s="67">
        <v>1.48</v>
      </c>
      <c r="J59">
        <f t="shared" si="2"/>
        <v>98531</v>
      </c>
    </row>
    <row r="60" spans="2:10" x14ac:dyDescent="0.25">
      <c r="B60" s="65">
        <v>2031</v>
      </c>
      <c r="C60" s="90">
        <v>68001</v>
      </c>
      <c r="D60" s="66">
        <f t="shared" si="3"/>
        <v>0.17714884547069271</v>
      </c>
      <c r="E60" s="67">
        <f t="shared" si="4"/>
        <v>1.0435677442273534</v>
      </c>
      <c r="F60" s="67">
        <f t="shared" si="5"/>
        <v>1.161130159857904</v>
      </c>
      <c r="G60" s="65">
        <v>0</v>
      </c>
      <c r="H60" s="67">
        <v>29.63</v>
      </c>
      <c r="I60" s="67">
        <v>1.48</v>
      </c>
      <c r="J60">
        <f t="shared" si="2"/>
        <v>100641.48</v>
      </c>
    </row>
    <row r="61" spans="2:10" x14ac:dyDescent="0.25">
      <c r="B61" s="65">
        <v>2032</v>
      </c>
      <c r="C61" s="90">
        <v>69458</v>
      </c>
      <c r="D61" s="66">
        <f t="shared" si="3"/>
        <v>0.18094446417998816</v>
      </c>
      <c r="E61" s="67">
        <f t="shared" si="4"/>
        <v>1.0659273889875667</v>
      </c>
      <c r="F61" s="67">
        <f t="shared" si="5"/>
        <v>1.1860087152161043</v>
      </c>
      <c r="G61" s="65">
        <v>0</v>
      </c>
      <c r="H61" s="67">
        <v>29.63</v>
      </c>
      <c r="I61" s="67">
        <v>1.48</v>
      </c>
      <c r="J61">
        <f t="shared" si="2"/>
        <v>102797.84</v>
      </c>
    </row>
    <row r="62" spans="2:10" x14ac:dyDescent="0.25">
      <c r="B62" s="65">
        <v>2033</v>
      </c>
      <c r="C62" s="90">
        <v>70946</v>
      </c>
      <c r="D62" s="66">
        <f t="shared" si="3"/>
        <v>0.18482084073416225</v>
      </c>
      <c r="E62" s="67">
        <f t="shared" si="4"/>
        <v>1.0887627708703376</v>
      </c>
      <c r="F62" s="67">
        <f t="shared" si="5"/>
        <v>1.2114166015393724</v>
      </c>
      <c r="G62" s="65">
        <v>0</v>
      </c>
      <c r="H62" s="67">
        <v>29.63</v>
      </c>
      <c r="I62" s="67">
        <v>1.48</v>
      </c>
      <c r="J62">
        <f t="shared" si="2"/>
        <v>105000.08</v>
      </c>
    </row>
    <row r="63" spans="2:10" x14ac:dyDescent="0.25">
      <c r="B63" s="65">
        <v>2034</v>
      </c>
      <c r="C63" s="90">
        <v>72466</v>
      </c>
      <c r="D63" s="66">
        <f t="shared" si="3"/>
        <v>0.1887805802249852</v>
      </c>
      <c r="E63" s="67">
        <f t="shared" si="4"/>
        <v>1.1120892362344583</v>
      </c>
      <c r="F63" s="67">
        <f t="shared" si="5"/>
        <v>1.2373708940201302</v>
      </c>
      <c r="G63" s="65">
        <v>0</v>
      </c>
      <c r="H63" s="67">
        <v>29.63</v>
      </c>
      <c r="I63" s="67">
        <v>1.48</v>
      </c>
      <c r="J63">
        <f t="shared" si="2"/>
        <v>107249.68</v>
      </c>
    </row>
    <row r="64" spans="2:10" x14ac:dyDescent="0.25">
      <c r="B64" s="65">
        <v>2035</v>
      </c>
      <c r="C64" s="90">
        <v>74019</v>
      </c>
      <c r="D64" s="66">
        <f t="shared" si="3"/>
        <v>0.19282628774422736</v>
      </c>
      <c r="E64" s="67">
        <f t="shared" si="4"/>
        <v>1.1359221314387211</v>
      </c>
      <c r="F64" s="67">
        <f t="shared" si="5"/>
        <v>1.2638886678507992</v>
      </c>
      <c r="G64" s="65">
        <v>0</v>
      </c>
      <c r="H64" s="67">
        <v>29.63</v>
      </c>
      <c r="I64" s="67">
        <v>1.48</v>
      </c>
      <c r="J64">
        <f t="shared" si="2"/>
        <v>109548.12</v>
      </c>
    </row>
    <row r="65" spans="2:11" x14ac:dyDescent="0.25">
      <c r="B65" s="65">
        <v>2036</v>
      </c>
      <c r="C65" s="90">
        <v>75605</v>
      </c>
      <c r="D65" s="66">
        <f t="shared" si="3"/>
        <v>0.19695796329188867</v>
      </c>
      <c r="E65" s="67">
        <f t="shared" si="4"/>
        <v>1.1602614564831262</v>
      </c>
      <c r="F65" s="67">
        <f t="shared" si="5"/>
        <v>1.2909699230313794</v>
      </c>
      <c r="G65" s="65">
        <v>0</v>
      </c>
      <c r="H65" s="67">
        <v>29.63</v>
      </c>
      <c r="I65" s="67">
        <v>1.48</v>
      </c>
      <c r="J65">
        <f t="shared" si="2"/>
        <v>111895.4</v>
      </c>
    </row>
    <row r="66" spans="2:11" x14ac:dyDescent="0.25">
      <c r="B66" s="56">
        <v>2037</v>
      </c>
      <c r="C66" s="90">
        <v>77225</v>
      </c>
      <c r="D66" s="64">
        <f t="shared" si="3"/>
        <v>0.20117821195973948</v>
      </c>
      <c r="E66" s="57">
        <f t="shared" si="4"/>
        <v>1.1851225577264655</v>
      </c>
      <c r="F66" s="57">
        <f t="shared" si="5"/>
        <v>1.3186317347542924</v>
      </c>
      <c r="G66" s="56">
        <v>0</v>
      </c>
      <c r="H66" s="57">
        <v>29.63</v>
      </c>
      <c r="I66" s="57">
        <v>1.48</v>
      </c>
      <c r="J66">
        <f t="shared" si="2"/>
        <v>114293</v>
      </c>
    </row>
    <row r="67" spans="2:11" ht="3.75" customHeight="1" x14ac:dyDescent="0.25">
      <c r="B67" s="62"/>
      <c r="C67" s="62"/>
      <c r="D67" s="62"/>
      <c r="E67" s="62"/>
      <c r="F67" s="62"/>
      <c r="G67" s="62"/>
      <c r="H67" s="62"/>
      <c r="I67" s="63"/>
    </row>
    <row r="68" spans="2:11" hidden="1" x14ac:dyDescent="0.25">
      <c r="B68" s="133"/>
      <c r="C68" s="134"/>
      <c r="D68" s="134"/>
      <c r="E68" s="134"/>
      <c r="F68" s="134"/>
      <c r="G68" s="134"/>
      <c r="H68" s="62"/>
      <c r="I68" s="71"/>
    </row>
    <row r="69" spans="2:11" hidden="1" x14ac:dyDescent="0.25">
      <c r="B69" s="62"/>
      <c r="C69" s="62"/>
      <c r="D69" s="62"/>
      <c r="E69" s="62"/>
      <c r="F69" s="62"/>
      <c r="G69" s="62"/>
      <c r="H69" s="62"/>
      <c r="I69" s="62"/>
    </row>
    <row r="70" spans="2:11" x14ac:dyDescent="0.25">
      <c r="B70" s="110" t="s">
        <v>68</v>
      </c>
      <c r="C70" s="111"/>
      <c r="D70" s="111"/>
      <c r="E70" s="111"/>
      <c r="F70" s="111"/>
      <c r="G70" s="111"/>
      <c r="H70" s="112"/>
      <c r="I70" s="70">
        <f>C46*H46</f>
        <v>1497440.94</v>
      </c>
    </row>
    <row r="71" spans="2:11" x14ac:dyDescent="0.25">
      <c r="B71" s="110" t="s">
        <v>111</v>
      </c>
      <c r="C71" s="111"/>
      <c r="D71" s="111"/>
      <c r="E71" s="111"/>
      <c r="F71" s="111"/>
      <c r="G71" s="111"/>
      <c r="H71" s="112"/>
      <c r="I71" s="70">
        <f>C46*I46</f>
        <v>74796.240000000005</v>
      </c>
      <c r="K71" s="92">
        <f>I70+I71</f>
        <v>1572237.18</v>
      </c>
    </row>
    <row r="72" spans="2:11" ht="4.5" customHeight="1" x14ac:dyDescent="0.25">
      <c r="B72" s="68"/>
      <c r="C72" s="68"/>
      <c r="D72" s="68"/>
      <c r="E72" s="68"/>
      <c r="F72" s="68"/>
      <c r="G72" s="68"/>
      <c r="H72" s="68"/>
      <c r="I72" s="68"/>
    </row>
    <row r="73" spans="2:11" x14ac:dyDescent="0.25">
      <c r="B73" s="119"/>
      <c r="C73" s="120"/>
      <c r="D73" s="120"/>
      <c r="E73" s="120"/>
      <c r="F73" s="120"/>
      <c r="G73" s="120"/>
      <c r="H73" s="120"/>
      <c r="I73" s="121"/>
    </row>
    <row r="74" spans="2:11" x14ac:dyDescent="0.25">
      <c r="B74" s="116" t="s">
        <v>59</v>
      </c>
      <c r="C74" s="117"/>
      <c r="D74" s="117"/>
      <c r="E74" s="117"/>
      <c r="F74" s="117"/>
      <c r="G74" s="117"/>
      <c r="H74" s="117"/>
      <c r="I74" s="118"/>
    </row>
    <row r="75" spans="2:11" x14ac:dyDescent="0.25">
      <c r="B75" s="116" t="s">
        <v>108</v>
      </c>
      <c r="C75" s="117"/>
      <c r="D75" s="117"/>
      <c r="E75" s="117"/>
      <c r="F75" s="117"/>
      <c r="G75" s="117"/>
      <c r="H75" s="117"/>
      <c r="I75" s="118"/>
    </row>
    <row r="76" spans="2:11" x14ac:dyDescent="0.25">
      <c r="B76" s="116" t="s">
        <v>44</v>
      </c>
      <c r="C76" s="117"/>
      <c r="D76" s="117"/>
      <c r="E76" s="117"/>
      <c r="F76" s="117"/>
      <c r="G76" s="117"/>
      <c r="H76" s="117"/>
      <c r="I76" s="118"/>
    </row>
    <row r="80" spans="2:11" x14ac:dyDescent="0.25">
      <c r="B80" s="123" t="s">
        <v>85</v>
      </c>
      <c r="C80" s="123"/>
      <c r="D80" s="123"/>
    </row>
    <row r="81" spans="2:7" ht="18" customHeight="1" x14ac:dyDescent="0.25">
      <c r="B81" s="84" t="s">
        <v>28</v>
      </c>
      <c r="C81" s="68"/>
      <c r="D81" s="68"/>
    </row>
    <row r="82" spans="2:7" x14ac:dyDescent="0.25">
      <c r="B82" s="123" t="s">
        <v>26</v>
      </c>
      <c r="C82" s="123"/>
      <c r="D82" s="123"/>
    </row>
    <row r="83" spans="2:7" x14ac:dyDescent="0.25">
      <c r="B83" s="68" t="s">
        <v>66</v>
      </c>
      <c r="C83" s="78">
        <f>80/2.7</f>
        <v>29.629629629629626</v>
      </c>
      <c r="D83" s="68"/>
    </row>
    <row r="84" spans="2:7" ht="5.25" customHeight="1" x14ac:dyDescent="0.25">
      <c r="B84" s="62"/>
      <c r="C84" s="62"/>
      <c r="D84" s="62"/>
    </row>
    <row r="85" spans="2:7" x14ac:dyDescent="0.25">
      <c r="B85" s="68" t="s">
        <v>101</v>
      </c>
      <c r="C85" s="68"/>
      <c r="D85" s="68"/>
    </row>
    <row r="86" spans="2:7" ht="18.75" customHeight="1" x14ac:dyDescent="0.25">
      <c r="B86" s="86" t="s">
        <v>50</v>
      </c>
      <c r="C86" s="87">
        <f>29.63*50538</f>
        <v>1497440.94</v>
      </c>
      <c r="D86" s="68"/>
    </row>
    <row r="87" spans="2:7" x14ac:dyDescent="0.25">
      <c r="B87" s="123" t="s">
        <v>27</v>
      </c>
      <c r="C87" s="123"/>
      <c r="D87" s="123"/>
    </row>
    <row r="88" spans="2:7" x14ac:dyDescent="0.25">
      <c r="B88" s="68" t="s">
        <v>67</v>
      </c>
      <c r="C88" s="78">
        <f>4/2.7</f>
        <v>1.4814814814814814</v>
      </c>
      <c r="D88" s="68"/>
    </row>
    <row r="89" spans="2:7" ht="5.25" customHeight="1" x14ac:dyDescent="0.25">
      <c r="B89" s="62"/>
      <c r="C89" s="62"/>
      <c r="D89" s="62"/>
    </row>
    <row r="90" spans="2:7" x14ac:dyDescent="0.25">
      <c r="B90" s="68" t="s">
        <v>92</v>
      </c>
      <c r="C90" s="68"/>
      <c r="D90" s="68"/>
    </row>
    <row r="91" spans="2:7" ht="18.75" customHeight="1" x14ac:dyDescent="0.25">
      <c r="B91" s="86" t="s">
        <v>50</v>
      </c>
      <c r="C91" s="87">
        <f>1.48*50538</f>
        <v>74796.240000000005</v>
      </c>
      <c r="D91" s="68"/>
    </row>
    <row r="92" spans="2:7" ht="45.75" customHeight="1" x14ac:dyDescent="0.25">
      <c r="B92" s="109" t="s">
        <v>102</v>
      </c>
      <c r="C92" s="109"/>
      <c r="D92" s="109"/>
    </row>
    <row r="93" spans="2:7" x14ac:dyDescent="0.25">
      <c r="B93" s="132"/>
      <c r="C93" s="132"/>
      <c r="D93" s="132"/>
    </row>
    <row r="95" spans="2:7" x14ac:dyDescent="0.25">
      <c r="D95" s="123" t="s">
        <v>52</v>
      </c>
      <c r="E95" s="123"/>
      <c r="F95" s="123"/>
      <c r="G95" s="123"/>
    </row>
    <row r="96" spans="2:7" ht="19.5" customHeight="1" x14ac:dyDescent="0.25">
      <c r="D96" s="84" t="s">
        <v>32</v>
      </c>
      <c r="E96" s="68"/>
      <c r="F96" s="68"/>
      <c r="G96" s="68"/>
    </row>
    <row r="97" spans="4:7" x14ac:dyDescent="0.25">
      <c r="D97" s="123" t="s">
        <v>53</v>
      </c>
      <c r="E97" s="123"/>
      <c r="F97" s="123"/>
      <c r="G97" s="123"/>
    </row>
    <row r="98" spans="4:7" x14ac:dyDescent="0.25">
      <c r="D98" s="68" t="s">
        <v>39</v>
      </c>
      <c r="E98" s="68" t="s">
        <v>40</v>
      </c>
      <c r="F98" s="68"/>
      <c r="G98" s="68"/>
    </row>
    <row r="99" spans="4:7" x14ac:dyDescent="0.25">
      <c r="D99" s="68" t="s">
        <v>34</v>
      </c>
      <c r="E99" s="68" t="s">
        <v>41</v>
      </c>
      <c r="F99" s="68"/>
      <c r="G99" s="68"/>
    </row>
    <row r="100" spans="4:7" ht="19.5" customHeight="1" x14ac:dyDescent="0.25">
      <c r="D100" s="85" t="s">
        <v>42</v>
      </c>
      <c r="E100" s="68"/>
      <c r="F100" s="68"/>
      <c r="G100" s="68"/>
    </row>
    <row r="101" spans="4:7" x14ac:dyDescent="0.25">
      <c r="D101" s="123" t="s">
        <v>56</v>
      </c>
      <c r="E101" s="123"/>
      <c r="F101" s="123"/>
      <c r="G101" s="123"/>
    </row>
    <row r="102" spans="4:7" x14ac:dyDescent="0.25">
      <c r="D102" s="68" t="s">
        <v>36</v>
      </c>
      <c r="E102" s="68"/>
      <c r="F102" s="68"/>
      <c r="G102" s="68"/>
    </row>
    <row r="103" spans="4:7" x14ac:dyDescent="0.25">
      <c r="D103" s="68" t="s">
        <v>34</v>
      </c>
      <c r="E103" s="68" t="s">
        <v>38</v>
      </c>
      <c r="F103" s="68"/>
      <c r="G103" s="68"/>
    </row>
    <row r="104" spans="4:7" ht="19.5" customHeight="1" x14ac:dyDescent="0.25">
      <c r="D104" s="85" t="s">
        <v>37</v>
      </c>
      <c r="E104" s="68"/>
      <c r="F104" s="68"/>
      <c r="G104" s="68"/>
    </row>
    <row r="105" spans="4:7" x14ac:dyDescent="0.25">
      <c r="D105" s="62"/>
      <c r="E105" s="62"/>
      <c r="F105" s="62"/>
      <c r="G105" s="62"/>
    </row>
  </sheetData>
  <mergeCells count="22">
    <mergeCell ref="B2:B3"/>
    <mergeCell ref="C2:F2"/>
    <mergeCell ref="I2:L2"/>
    <mergeCell ref="B44:B45"/>
    <mergeCell ref="C44:C45"/>
    <mergeCell ref="B43:I43"/>
    <mergeCell ref="B93:D93"/>
    <mergeCell ref="D101:G101"/>
    <mergeCell ref="D44:D45"/>
    <mergeCell ref="B82:D82"/>
    <mergeCell ref="B87:D87"/>
    <mergeCell ref="B68:G68"/>
    <mergeCell ref="D95:G95"/>
    <mergeCell ref="D97:G97"/>
    <mergeCell ref="B70:H70"/>
    <mergeCell ref="B71:H71"/>
    <mergeCell ref="B73:I73"/>
    <mergeCell ref="B74:I74"/>
    <mergeCell ref="B75:I75"/>
    <mergeCell ref="B76:I76"/>
    <mergeCell ref="B80:D80"/>
    <mergeCell ref="B92:D9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opLeftCell="B10" zoomScale="110" zoomScaleNormal="110" workbookViewId="0">
      <selection activeCell="I29" activeCellId="1" sqref="K16 I29"/>
    </sheetView>
  </sheetViews>
  <sheetFormatPr defaultRowHeight="15" x14ac:dyDescent="0.25"/>
  <cols>
    <col min="1" max="1" width="15.85546875" customWidth="1"/>
    <col min="2" max="2" width="17.7109375" customWidth="1"/>
    <col min="3" max="3" width="27.42578125" customWidth="1"/>
    <col min="4" max="4" width="16.140625" customWidth="1"/>
    <col min="5" max="5" width="15.7109375" customWidth="1"/>
    <col min="6" max="6" width="15.85546875" customWidth="1"/>
    <col min="7" max="7" width="16.140625" customWidth="1"/>
    <col min="8" max="8" width="16.28515625" customWidth="1"/>
    <col min="9" max="9" width="14.28515625" customWidth="1"/>
    <col min="11" max="11" width="14" bestFit="1" customWidth="1"/>
  </cols>
  <sheetData>
    <row r="1" spans="1:11" x14ac:dyDescent="0.25">
      <c r="A1" s="123" t="s">
        <v>25</v>
      </c>
      <c r="B1" s="123"/>
      <c r="C1" s="123"/>
      <c r="D1" s="123"/>
      <c r="E1" s="123"/>
      <c r="F1" s="123"/>
      <c r="G1" s="123"/>
      <c r="H1" s="123"/>
    </row>
    <row r="2" spans="1:11" ht="0.75" customHeight="1" x14ac:dyDescent="0.25">
      <c r="A2" s="126" t="s">
        <v>0</v>
      </c>
      <c r="B2" s="128" t="s">
        <v>49</v>
      </c>
      <c r="C2" s="128" t="s">
        <v>72</v>
      </c>
      <c r="D2" s="69"/>
      <c r="E2" s="69"/>
      <c r="F2" s="69"/>
      <c r="G2" s="69"/>
      <c r="H2" s="69"/>
    </row>
    <row r="3" spans="1:11" ht="90.75" customHeight="1" x14ac:dyDescent="0.25">
      <c r="A3" s="127"/>
      <c r="B3" s="129"/>
      <c r="C3" s="129"/>
      <c r="D3" s="61" t="s">
        <v>61</v>
      </c>
      <c r="E3" s="61" t="s">
        <v>62</v>
      </c>
      <c r="F3" s="61" t="s">
        <v>73</v>
      </c>
      <c r="G3" s="61" t="s">
        <v>71</v>
      </c>
      <c r="H3" s="61" t="s">
        <v>69</v>
      </c>
    </row>
    <row r="4" spans="1:11" x14ac:dyDescent="0.25">
      <c r="A4" s="65">
        <v>2017</v>
      </c>
      <c r="B4" s="90">
        <v>50538</v>
      </c>
      <c r="C4" s="66">
        <f>(B4*0.11)/42225</f>
        <v>0.13165612788632328</v>
      </c>
      <c r="D4" s="67">
        <f>(B4*0.648)/42225</f>
        <v>0.77557428063943157</v>
      </c>
      <c r="E4" s="75">
        <f>(B4*0.721)/42225</f>
        <v>0.86294607460035522</v>
      </c>
      <c r="F4" s="76">
        <f>(B4*2.29)/42225</f>
        <v>2.7408412078152753</v>
      </c>
      <c r="G4" s="67">
        <v>48.14</v>
      </c>
      <c r="H4" s="67">
        <v>4.8099999999999996</v>
      </c>
      <c r="I4">
        <f>H4*B4</f>
        <v>243087.77999999997</v>
      </c>
    </row>
    <row r="5" spans="1:11" x14ac:dyDescent="0.25">
      <c r="A5" s="65">
        <v>2018</v>
      </c>
      <c r="B5" s="90">
        <v>51621</v>
      </c>
      <c r="C5" s="66">
        <f>(B5*0.11)/79232</f>
        <v>7.1666877019386108E-2</v>
      </c>
      <c r="D5" s="67">
        <f>(B5*0.648)/79232</f>
        <v>0.42218305735056549</v>
      </c>
      <c r="E5" s="75">
        <f>(B5*0.721)/79232</f>
        <v>0.4697438030088853</v>
      </c>
      <c r="F5" s="76">
        <f>(B5*2.29)/42225</f>
        <v>2.7995758436944937</v>
      </c>
      <c r="G5" s="67">
        <v>48.14</v>
      </c>
      <c r="H5" s="67">
        <v>4.8099999999999996</v>
      </c>
      <c r="I5">
        <f t="shared" ref="I5:I24" si="0">H5*B5</f>
        <v>248297.00999999998</v>
      </c>
    </row>
    <row r="6" spans="1:11" x14ac:dyDescent="0.25">
      <c r="A6" s="65">
        <v>2019</v>
      </c>
      <c r="B6" s="90">
        <v>52727</v>
      </c>
      <c r="C6" s="66">
        <f t="shared" ref="C6:C24" si="1">(B6*0.11)/79232</f>
        <v>7.3202367730210022E-2</v>
      </c>
      <c r="D6" s="67">
        <f t="shared" ref="D6:D24" si="2">(B6*0.648)/79232</f>
        <v>0.43122849353796444</v>
      </c>
      <c r="E6" s="75">
        <f t="shared" ref="E6:E24" si="3">(B6*0.721)/79232</f>
        <v>0.47980824666801292</v>
      </c>
      <c r="F6" s="76">
        <f t="shared" ref="F6:F24" si="4">(B6*2.29)/42225</f>
        <v>2.8595578448786263</v>
      </c>
      <c r="G6" s="67">
        <v>48.14</v>
      </c>
      <c r="H6" s="67">
        <v>4.8099999999999996</v>
      </c>
      <c r="I6">
        <f t="shared" si="0"/>
        <v>253616.86999999997</v>
      </c>
    </row>
    <row r="7" spans="1:11" x14ac:dyDescent="0.25">
      <c r="A7" s="65">
        <v>2020</v>
      </c>
      <c r="B7" s="90">
        <v>53857</v>
      </c>
      <c r="C7" s="66">
        <f t="shared" si="1"/>
        <v>7.4771178311793224E-2</v>
      </c>
      <c r="D7" s="67">
        <f t="shared" si="2"/>
        <v>0.44047021405492737</v>
      </c>
      <c r="E7" s="75">
        <f t="shared" si="3"/>
        <v>0.49009108693457187</v>
      </c>
      <c r="F7" s="76">
        <f t="shared" si="4"/>
        <v>2.9208414446418001</v>
      </c>
      <c r="G7" s="67">
        <v>48.14</v>
      </c>
      <c r="H7" s="67">
        <v>4.8099999999999996</v>
      </c>
      <c r="I7">
        <f t="shared" si="0"/>
        <v>259052.16999999998</v>
      </c>
    </row>
    <row r="8" spans="1:11" x14ac:dyDescent="0.25">
      <c r="A8" s="65">
        <v>2021</v>
      </c>
      <c r="B8" s="90">
        <v>55010</v>
      </c>
      <c r="C8" s="66">
        <f t="shared" si="1"/>
        <v>7.6371920436187402E-2</v>
      </c>
      <c r="D8" s="67">
        <f t="shared" si="2"/>
        <v>0.44990004038772219</v>
      </c>
      <c r="E8" s="75">
        <f t="shared" si="3"/>
        <v>0.50058322394991916</v>
      </c>
      <c r="F8" s="76">
        <f t="shared" si="4"/>
        <v>2.9833724097098879</v>
      </c>
      <c r="G8" s="67">
        <v>48.14</v>
      </c>
      <c r="H8" s="67">
        <v>4.8099999999999996</v>
      </c>
      <c r="I8">
        <f t="shared" si="0"/>
        <v>264598.09999999998</v>
      </c>
    </row>
    <row r="9" spans="1:11" x14ac:dyDescent="0.25">
      <c r="A9" s="65">
        <v>2022</v>
      </c>
      <c r="B9" s="90">
        <v>56189</v>
      </c>
      <c r="C9" s="66">
        <f t="shared" si="1"/>
        <v>7.8008759087237478E-2</v>
      </c>
      <c r="D9" s="67">
        <f t="shared" si="2"/>
        <v>0.45954250807754443</v>
      </c>
      <c r="E9" s="75">
        <f t="shared" si="3"/>
        <v>0.5113119572899838</v>
      </c>
      <c r="F9" s="76">
        <f t="shared" si="4"/>
        <v>3.0473134399052695</v>
      </c>
      <c r="G9" s="67">
        <v>48.14</v>
      </c>
      <c r="H9" s="67">
        <v>4.8099999999999996</v>
      </c>
      <c r="I9">
        <f t="shared" si="0"/>
        <v>270269.08999999997</v>
      </c>
    </row>
    <row r="10" spans="1:11" x14ac:dyDescent="0.25">
      <c r="A10" s="65">
        <v>2023</v>
      </c>
      <c r="B10" s="90">
        <v>57393</v>
      </c>
      <c r="C10" s="66">
        <f t="shared" si="1"/>
        <v>7.9680305936995155E-2</v>
      </c>
      <c r="D10" s="67">
        <f t="shared" si="2"/>
        <v>0.4693894386106624</v>
      </c>
      <c r="E10" s="75">
        <f t="shared" si="3"/>
        <v>0.52226818709612277</v>
      </c>
      <c r="F10" s="76">
        <f t="shared" si="4"/>
        <v>3.1126103019538189</v>
      </c>
      <c r="G10" s="67">
        <v>48.14</v>
      </c>
      <c r="H10" s="67">
        <v>4.8099999999999996</v>
      </c>
      <c r="I10">
        <f t="shared" si="0"/>
        <v>276060.32999999996</v>
      </c>
    </row>
    <row r="11" spans="1:11" x14ac:dyDescent="0.25">
      <c r="A11" s="65">
        <v>2024</v>
      </c>
      <c r="B11" s="90">
        <v>58623</v>
      </c>
      <c r="C11" s="66">
        <f t="shared" si="1"/>
        <v>8.1387949313408717E-2</v>
      </c>
      <c r="D11" s="67">
        <f t="shared" si="2"/>
        <v>0.47944901050080774</v>
      </c>
      <c r="E11" s="75">
        <f t="shared" si="3"/>
        <v>0.53346101322697892</v>
      </c>
      <c r="F11" s="76">
        <f t="shared" si="4"/>
        <v>3.179317229129663</v>
      </c>
      <c r="G11" s="67">
        <v>48.14</v>
      </c>
      <c r="H11" s="67">
        <v>4.8099999999999996</v>
      </c>
      <c r="I11">
        <f t="shared" si="0"/>
        <v>281976.63</v>
      </c>
    </row>
    <row r="12" spans="1:11" x14ac:dyDescent="0.25">
      <c r="A12" s="65">
        <v>2025</v>
      </c>
      <c r="B12" s="90">
        <v>59879</v>
      </c>
      <c r="C12" s="66">
        <f t="shared" si="1"/>
        <v>8.3131689216478191E-2</v>
      </c>
      <c r="D12" s="67">
        <f t="shared" si="2"/>
        <v>0.48972122374798066</v>
      </c>
      <c r="E12" s="75">
        <f t="shared" si="3"/>
        <v>0.54489043568255247</v>
      </c>
      <c r="F12" s="76">
        <f t="shared" si="4"/>
        <v>3.2474342214328007</v>
      </c>
      <c r="G12" s="67">
        <v>48.14</v>
      </c>
      <c r="H12" s="67">
        <v>4.8099999999999996</v>
      </c>
      <c r="I12">
        <f t="shared" si="0"/>
        <v>288017.99</v>
      </c>
    </row>
    <row r="13" spans="1:11" x14ac:dyDescent="0.25">
      <c r="A13" s="65">
        <v>2026</v>
      </c>
      <c r="B13" s="90">
        <v>61162</v>
      </c>
      <c r="C13" s="66">
        <f t="shared" si="1"/>
        <v>8.4912913974151849E-2</v>
      </c>
      <c r="D13" s="67">
        <f t="shared" si="2"/>
        <v>0.50021425686591281</v>
      </c>
      <c r="E13" s="75">
        <f t="shared" si="3"/>
        <v>0.55656555432148624</v>
      </c>
      <c r="F13" s="76">
        <f t="shared" si="4"/>
        <v>3.3170155121373597</v>
      </c>
      <c r="G13" s="67">
        <v>48.14</v>
      </c>
      <c r="H13" s="67">
        <v>4.8099999999999996</v>
      </c>
      <c r="I13">
        <f t="shared" si="0"/>
        <v>294189.21999999997</v>
      </c>
      <c r="K13" s="44" t="s">
        <v>117</v>
      </c>
    </row>
    <row r="14" spans="1:11" x14ac:dyDescent="0.25">
      <c r="A14" s="65">
        <v>2027</v>
      </c>
      <c r="B14" s="90">
        <v>62472</v>
      </c>
      <c r="C14" s="66">
        <f t="shared" si="1"/>
        <v>8.6731623586429732E-2</v>
      </c>
      <c r="D14" s="67">
        <f t="shared" si="2"/>
        <v>0.51092810985460424</v>
      </c>
      <c r="E14" s="75">
        <f t="shared" si="3"/>
        <v>0.56848636914378026</v>
      </c>
      <c r="F14" s="76">
        <f t="shared" si="4"/>
        <v>3.3880611012433395</v>
      </c>
      <c r="G14" s="67">
        <v>48.14</v>
      </c>
      <c r="H14" s="67">
        <v>4.8099999999999996</v>
      </c>
      <c r="I14">
        <f t="shared" si="0"/>
        <v>300490.31999999995</v>
      </c>
      <c r="K14" s="100">
        <v>3648881.25</v>
      </c>
    </row>
    <row r="15" spans="1:11" x14ac:dyDescent="0.25">
      <c r="A15" s="65">
        <v>2028</v>
      </c>
      <c r="B15" s="90">
        <v>63811</v>
      </c>
      <c r="C15" s="66">
        <f t="shared" si="1"/>
        <v>8.8590594709208395E-2</v>
      </c>
      <c r="D15" s="67">
        <f t="shared" si="2"/>
        <v>0.52187913974151856</v>
      </c>
      <c r="E15" s="75">
        <f t="shared" si="3"/>
        <v>0.58067107986672051</v>
      </c>
      <c r="F15" s="76">
        <f t="shared" si="4"/>
        <v>3.4606794552989935</v>
      </c>
      <c r="G15" s="67">
        <v>48.14</v>
      </c>
      <c r="H15" s="67">
        <v>4.8099999999999996</v>
      </c>
      <c r="I15">
        <f t="shared" si="0"/>
        <v>306930.90999999997</v>
      </c>
      <c r="K15" s="100">
        <v>1455030.5000000002</v>
      </c>
    </row>
    <row r="16" spans="1:11" x14ac:dyDescent="0.25">
      <c r="A16" s="65">
        <v>2029</v>
      </c>
      <c r="B16" s="90">
        <v>65178</v>
      </c>
      <c r="C16" s="66">
        <f>(B16*0.11)/79232</f>
        <v>9.0488439014539582E-2</v>
      </c>
      <c r="D16" s="67">
        <f t="shared" si="2"/>
        <v>0.53305916801292408</v>
      </c>
      <c r="E16" s="75">
        <f t="shared" si="3"/>
        <v>0.59311058663166394</v>
      </c>
      <c r="F16" s="76">
        <f>(B16*2.29)/42225</f>
        <v>3.5348163410301954</v>
      </c>
      <c r="G16" s="67">
        <v>48.14</v>
      </c>
      <c r="H16" s="67">
        <v>4.8099999999999996</v>
      </c>
      <c r="I16">
        <f t="shared" si="0"/>
        <v>313506.18</v>
      </c>
      <c r="K16" s="100">
        <f>SUM(K14:K15)</f>
        <v>5103911.75</v>
      </c>
    </row>
    <row r="17" spans="1:11" x14ac:dyDescent="0.25">
      <c r="A17" s="65">
        <v>2030</v>
      </c>
      <c r="B17" s="90">
        <v>66575</v>
      </c>
      <c r="C17" s="66">
        <f t="shared" si="1"/>
        <v>9.2427933158319875E-2</v>
      </c>
      <c r="D17" s="67">
        <f>(B17*0.648)/79232</f>
        <v>0.54448455169628429</v>
      </c>
      <c r="E17" s="75">
        <f>(B17*0.721)/79232</f>
        <v>0.60582308915589655</v>
      </c>
      <c r="F17" s="76">
        <f t="shared" si="4"/>
        <v>3.6105802249851982</v>
      </c>
      <c r="G17" s="67">
        <v>48.14</v>
      </c>
      <c r="H17" s="67">
        <v>4.8099999999999996</v>
      </c>
      <c r="I17">
        <f t="shared" si="0"/>
        <v>320225.75</v>
      </c>
    </row>
    <row r="18" spans="1:11" x14ac:dyDescent="0.25">
      <c r="A18" s="65">
        <v>2031</v>
      </c>
      <c r="B18" s="90">
        <v>68001</v>
      </c>
      <c r="C18" s="66">
        <f t="shared" si="1"/>
        <v>9.4407688812600962E-2</v>
      </c>
      <c r="D18" s="67">
        <f t="shared" si="2"/>
        <v>0.55614711227786751</v>
      </c>
      <c r="E18" s="75">
        <f t="shared" si="3"/>
        <v>0.61879948758077541</v>
      </c>
      <c r="F18" s="76">
        <f t="shared" si="4"/>
        <v>3.687916873889876</v>
      </c>
      <c r="G18" s="67">
        <v>48.14</v>
      </c>
      <c r="H18" s="67">
        <v>4.8099999999999996</v>
      </c>
      <c r="I18">
        <f t="shared" si="0"/>
        <v>327084.81</v>
      </c>
    </row>
    <row r="19" spans="1:11" x14ac:dyDescent="0.25">
      <c r="A19" s="65">
        <v>2032</v>
      </c>
      <c r="B19" s="90">
        <v>69458</v>
      </c>
      <c r="C19" s="66">
        <f t="shared" si="1"/>
        <v>9.6430482633279482E-2</v>
      </c>
      <c r="D19" s="67">
        <f t="shared" si="2"/>
        <v>0.56806320678513733</v>
      </c>
      <c r="E19" s="75">
        <f t="shared" si="3"/>
        <v>0.6320579816235864</v>
      </c>
      <c r="F19" s="76">
        <f t="shared" si="4"/>
        <v>3.7669347542924809</v>
      </c>
      <c r="G19" s="67">
        <v>48.14</v>
      </c>
      <c r="H19" s="67">
        <v>4.8099999999999996</v>
      </c>
      <c r="I19">
        <f t="shared" si="0"/>
        <v>334092.98</v>
      </c>
    </row>
    <row r="20" spans="1:11" x14ac:dyDescent="0.25">
      <c r="A20" s="65">
        <v>2033</v>
      </c>
      <c r="B20" s="90">
        <v>70946</v>
      </c>
      <c r="C20" s="66">
        <f t="shared" si="1"/>
        <v>9.8496314620355421E-2</v>
      </c>
      <c r="D20" s="67">
        <f t="shared" si="2"/>
        <v>0.58023283521809377</v>
      </c>
      <c r="E20" s="75">
        <f t="shared" si="3"/>
        <v>0.64559857128432951</v>
      </c>
      <c r="F20" s="76">
        <f t="shared" si="4"/>
        <v>3.8476338661930134</v>
      </c>
      <c r="G20" s="67">
        <v>48.14</v>
      </c>
      <c r="H20" s="67">
        <v>4.8099999999999996</v>
      </c>
      <c r="I20">
        <f t="shared" si="0"/>
        <v>341250.25999999995</v>
      </c>
    </row>
    <row r="21" spans="1:11" x14ac:dyDescent="0.25">
      <c r="A21" s="65">
        <v>2034</v>
      </c>
      <c r="B21" s="90">
        <v>72466</v>
      </c>
      <c r="C21" s="66">
        <f t="shared" si="1"/>
        <v>0.10060657310177706</v>
      </c>
      <c r="D21" s="67">
        <f t="shared" si="2"/>
        <v>0.59266417609046851</v>
      </c>
      <c r="E21" s="75">
        <f t="shared" si="3"/>
        <v>0.65943035642164782</v>
      </c>
      <c r="F21" s="76">
        <f t="shared" si="4"/>
        <v>3.9300684428656014</v>
      </c>
      <c r="G21" s="67">
        <v>48.14</v>
      </c>
      <c r="H21" s="67">
        <v>4.8099999999999996</v>
      </c>
      <c r="I21">
        <f t="shared" si="0"/>
        <v>348561.45999999996</v>
      </c>
    </row>
    <row r="22" spans="1:11" x14ac:dyDescent="0.25">
      <c r="A22" s="65">
        <v>2035</v>
      </c>
      <c r="B22" s="90">
        <v>74019</v>
      </c>
      <c r="C22" s="66">
        <f t="shared" si="1"/>
        <v>0.10276264640549274</v>
      </c>
      <c r="D22" s="67">
        <f t="shared" si="2"/>
        <v>0.60536540791599347</v>
      </c>
      <c r="E22" s="75">
        <f t="shared" si="3"/>
        <v>0.67356243689418416</v>
      </c>
      <c r="F22" s="76">
        <f t="shared" si="4"/>
        <v>4.0142927175843699</v>
      </c>
      <c r="G22" s="67">
        <v>48.14</v>
      </c>
      <c r="H22" s="67">
        <v>4.8099999999999996</v>
      </c>
      <c r="I22">
        <f t="shared" si="0"/>
        <v>356031.38999999996</v>
      </c>
    </row>
    <row r="23" spans="1:11" x14ac:dyDescent="0.25">
      <c r="A23" s="65">
        <v>2036</v>
      </c>
      <c r="B23" s="90">
        <v>75605</v>
      </c>
      <c r="C23" s="66">
        <f t="shared" si="1"/>
        <v>0.10496453453150241</v>
      </c>
      <c r="D23" s="67">
        <f t="shared" si="2"/>
        <v>0.61833653069466887</v>
      </c>
      <c r="E23" s="75">
        <f t="shared" si="3"/>
        <v>0.68799481270193852</v>
      </c>
      <c r="F23" s="76">
        <f t="shared" si="4"/>
        <v>4.1003066903493197</v>
      </c>
      <c r="G23" s="67">
        <v>48.14</v>
      </c>
      <c r="H23" s="67">
        <v>4.8099999999999996</v>
      </c>
      <c r="I23">
        <f t="shared" si="0"/>
        <v>363660.05</v>
      </c>
      <c r="K23" s="89">
        <f>'LAGOA ANAER E FACULTA'!F28</f>
        <v>517060.04999999993</v>
      </c>
    </row>
    <row r="24" spans="1:11" x14ac:dyDescent="0.25">
      <c r="A24" s="65">
        <v>2037</v>
      </c>
      <c r="B24" s="90">
        <v>77225</v>
      </c>
      <c r="C24" s="66">
        <f t="shared" si="1"/>
        <v>0.10721362580775444</v>
      </c>
      <c r="D24" s="67">
        <f t="shared" si="2"/>
        <v>0.63158572294022619</v>
      </c>
      <c r="E24" s="75">
        <f t="shared" si="3"/>
        <v>0.70273658370355407</v>
      </c>
      <c r="F24" s="76">
        <f t="shared" si="4"/>
        <v>4.1881645944345767</v>
      </c>
      <c r="G24" s="67">
        <v>48.14</v>
      </c>
      <c r="H24" s="67">
        <v>4.8099999999999996</v>
      </c>
      <c r="I24">
        <f t="shared" si="0"/>
        <v>371452.24999999994</v>
      </c>
    </row>
    <row r="25" spans="1:11" ht="5.25" customHeight="1" x14ac:dyDescent="0.25">
      <c r="A25" s="68"/>
      <c r="B25" s="68"/>
      <c r="C25" s="68"/>
      <c r="D25" s="68"/>
      <c r="E25" s="68"/>
      <c r="F25" s="68"/>
      <c r="G25" s="68"/>
      <c r="H25" s="68"/>
    </row>
    <row r="26" spans="1:11" x14ac:dyDescent="0.25">
      <c r="A26" s="143" t="s">
        <v>68</v>
      </c>
      <c r="B26" s="144"/>
      <c r="C26" s="144"/>
      <c r="D26" s="144"/>
      <c r="E26" s="144"/>
      <c r="F26" s="144"/>
      <c r="G26" s="145"/>
      <c r="H26" s="72">
        <f>B4*G4</f>
        <v>2432899.3199999998</v>
      </c>
    </row>
    <row r="27" spans="1:11" x14ac:dyDescent="0.25">
      <c r="A27" s="110" t="s">
        <v>110</v>
      </c>
      <c r="B27" s="111"/>
      <c r="C27" s="111"/>
      <c r="D27" s="111"/>
      <c r="E27" s="111"/>
      <c r="F27" s="111"/>
      <c r="G27" s="112"/>
      <c r="H27" s="72">
        <f>B4*H4</f>
        <v>243087.77999999997</v>
      </c>
      <c r="I27" s="89">
        <f>SUM(I4:I24)</f>
        <v>6362451.549999998</v>
      </c>
      <c r="K27" s="92">
        <f>H26+H27</f>
        <v>2675987.0999999996</v>
      </c>
    </row>
    <row r="28" spans="1:11" ht="5.25" customHeight="1" x14ac:dyDescent="0.25">
      <c r="A28" s="68"/>
      <c r="B28" s="68"/>
      <c r="C28" s="68"/>
      <c r="D28" s="68"/>
      <c r="E28" s="68"/>
      <c r="F28" s="68"/>
      <c r="G28" s="68"/>
      <c r="H28" s="68"/>
    </row>
    <row r="29" spans="1:11" x14ac:dyDescent="0.25">
      <c r="A29" s="119"/>
      <c r="B29" s="120"/>
      <c r="C29" s="120"/>
      <c r="D29" s="120"/>
      <c r="E29" s="120"/>
      <c r="F29" s="120"/>
      <c r="G29" s="120"/>
      <c r="H29" s="121"/>
      <c r="I29" s="92">
        <f>H26+I27</f>
        <v>8795350.8699999973</v>
      </c>
    </row>
    <row r="30" spans="1:11" x14ac:dyDescent="0.25">
      <c r="A30" s="116" t="s">
        <v>74</v>
      </c>
      <c r="B30" s="117"/>
      <c r="C30" s="117"/>
      <c r="D30" s="117"/>
      <c r="E30" s="117"/>
      <c r="F30" s="117"/>
      <c r="G30" s="117"/>
      <c r="H30" s="118"/>
    </row>
    <row r="31" spans="1:11" x14ac:dyDescent="0.25">
      <c r="A31" s="116" t="s">
        <v>108</v>
      </c>
      <c r="B31" s="117"/>
      <c r="C31" s="117"/>
      <c r="D31" s="117"/>
      <c r="E31" s="117"/>
      <c r="F31" s="117"/>
      <c r="G31" s="117"/>
      <c r="H31" s="118"/>
    </row>
    <row r="32" spans="1:11" x14ac:dyDescent="0.25">
      <c r="A32" s="116" t="s">
        <v>44</v>
      </c>
      <c r="B32" s="117"/>
      <c r="C32" s="117"/>
      <c r="D32" s="117"/>
      <c r="E32" s="117"/>
      <c r="F32" s="117"/>
      <c r="G32" s="117"/>
      <c r="H32" s="118"/>
    </row>
    <row r="35" spans="6:8" x14ac:dyDescent="0.25">
      <c r="F35" s="146" t="s">
        <v>88</v>
      </c>
      <c r="G35" s="146"/>
      <c r="H35" s="146"/>
    </row>
    <row r="36" spans="6:8" x14ac:dyDescent="0.25">
      <c r="F36" s="73" t="s">
        <v>28</v>
      </c>
      <c r="G36" s="73"/>
      <c r="H36" s="73"/>
    </row>
    <row r="37" spans="6:8" ht="3.75" customHeight="1" x14ac:dyDescent="0.25">
      <c r="F37" s="74"/>
      <c r="G37" s="74"/>
      <c r="H37" s="74"/>
    </row>
    <row r="38" spans="6:8" x14ac:dyDescent="0.25">
      <c r="F38" s="123" t="s">
        <v>26</v>
      </c>
      <c r="G38" s="123"/>
      <c r="H38" s="123"/>
    </row>
    <row r="39" spans="6:8" x14ac:dyDescent="0.25">
      <c r="F39" s="68" t="s">
        <v>75</v>
      </c>
      <c r="G39" s="78">
        <f xml:space="preserve"> 130/2.7</f>
        <v>48.148148148148145</v>
      </c>
      <c r="H39" s="68"/>
    </row>
    <row r="40" spans="6:8" ht="3.75" customHeight="1" x14ac:dyDescent="0.25">
      <c r="F40" s="68"/>
      <c r="G40" s="68"/>
      <c r="H40" s="68"/>
    </row>
    <row r="41" spans="6:8" x14ac:dyDescent="0.25">
      <c r="F41" s="73" t="s">
        <v>103</v>
      </c>
      <c r="G41" s="73"/>
      <c r="H41" s="73"/>
    </row>
    <row r="42" spans="6:8" x14ac:dyDescent="0.25">
      <c r="F42" s="82" t="s">
        <v>50</v>
      </c>
      <c r="G42" s="81">
        <f>48.14 *50538</f>
        <v>2432899.3199999998</v>
      </c>
      <c r="H42" s="73"/>
    </row>
    <row r="43" spans="6:8" ht="3.75" customHeight="1" x14ac:dyDescent="0.25">
      <c r="F43" s="74"/>
      <c r="G43" s="74"/>
      <c r="H43" s="74"/>
    </row>
    <row r="44" spans="6:8" x14ac:dyDescent="0.25">
      <c r="F44" s="123" t="s">
        <v>27</v>
      </c>
      <c r="G44" s="123"/>
      <c r="H44" s="123"/>
    </row>
    <row r="45" spans="6:8" x14ac:dyDescent="0.25">
      <c r="F45" s="68" t="s">
        <v>76</v>
      </c>
      <c r="G45" s="78">
        <f>13/2.7</f>
        <v>4.8148148148148149</v>
      </c>
      <c r="H45" s="68"/>
    </row>
    <row r="46" spans="6:8" ht="4.5" customHeight="1" x14ac:dyDescent="0.25">
      <c r="F46" s="68"/>
      <c r="G46" s="68"/>
      <c r="H46" s="68"/>
    </row>
    <row r="47" spans="6:8" x14ac:dyDescent="0.25">
      <c r="F47" s="68" t="s">
        <v>104</v>
      </c>
      <c r="G47" s="68"/>
      <c r="H47" s="68"/>
    </row>
    <row r="48" spans="6:8" x14ac:dyDescent="0.25">
      <c r="F48" s="83" t="s">
        <v>50</v>
      </c>
      <c r="G48" s="79">
        <f>4.81*50538</f>
        <v>243087.77999999997</v>
      </c>
      <c r="H48" s="68"/>
    </row>
    <row r="49" spans="3:8" ht="51" customHeight="1" x14ac:dyDescent="0.25">
      <c r="F49" s="109" t="s">
        <v>102</v>
      </c>
      <c r="G49" s="109"/>
      <c r="H49" s="109"/>
    </row>
    <row r="53" spans="3:8" x14ac:dyDescent="0.25">
      <c r="C53" s="142" t="s">
        <v>43</v>
      </c>
      <c r="D53" s="142"/>
      <c r="E53" s="142"/>
      <c r="F53" s="142"/>
      <c r="G53" s="142"/>
      <c r="H53" s="142"/>
    </row>
    <row r="54" spans="3:8" x14ac:dyDescent="0.25">
      <c r="C54" s="142"/>
      <c r="D54" s="142"/>
      <c r="E54" s="142"/>
      <c r="F54" s="142"/>
      <c r="G54" s="142"/>
      <c r="H54" s="142"/>
    </row>
    <row r="55" spans="3:8" x14ac:dyDescent="0.25">
      <c r="C55" s="142"/>
      <c r="D55" s="142"/>
      <c r="E55" s="142"/>
      <c r="F55" s="142"/>
      <c r="G55" s="142"/>
      <c r="H55" s="142"/>
    </row>
    <row r="56" spans="3:8" x14ac:dyDescent="0.25">
      <c r="C56" s="142"/>
      <c r="D56" s="142"/>
      <c r="E56" s="142"/>
      <c r="F56" s="142"/>
      <c r="G56" s="142"/>
      <c r="H56" s="142"/>
    </row>
    <row r="57" spans="3:8" x14ac:dyDescent="0.25">
      <c r="C57" s="142"/>
      <c r="D57" s="142"/>
      <c r="E57" s="142"/>
      <c r="F57" s="142"/>
      <c r="G57" s="142"/>
      <c r="H57" s="142"/>
    </row>
    <row r="58" spans="3:8" x14ac:dyDescent="0.25">
      <c r="C58" s="142"/>
      <c r="D58" s="142"/>
      <c r="E58" s="142"/>
      <c r="F58" s="142"/>
      <c r="G58" s="142"/>
      <c r="H58" s="142"/>
    </row>
    <row r="59" spans="3:8" x14ac:dyDescent="0.25">
      <c r="C59" s="142"/>
      <c r="D59" s="142"/>
      <c r="E59" s="142"/>
      <c r="F59" s="142"/>
      <c r="G59" s="142"/>
      <c r="H59" s="142"/>
    </row>
  </sheetData>
  <mergeCells count="15">
    <mergeCell ref="A1:H1"/>
    <mergeCell ref="C53:H59"/>
    <mergeCell ref="A29:H29"/>
    <mergeCell ref="F38:H38"/>
    <mergeCell ref="F44:H44"/>
    <mergeCell ref="A2:A3"/>
    <mergeCell ref="B2:B3"/>
    <mergeCell ref="C2:C3"/>
    <mergeCell ref="A26:G26"/>
    <mergeCell ref="A27:G27"/>
    <mergeCell ref="A30:H30"/>
    <mergeCell ref="A31:H31"/>
    <mergeCell ref="A32:H32"/>
    <mergeCell ref="F35:H35"/>
    <mergeCell ref="F49:H49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7"/>
  <sheetViews>
    <sheetView workbookViewId="0">
      <selection activeCell="D10" sqref="D10"/>
    </sheetView>
  </sheetViews>
  <sheetFormatPr defaultRowHeight="15" x14ac:dyDescent="0.25"/>
  <cols>
    <col min="1" max="1" width="0.42578125" customWidth="1"/>
    <col min="2" max="2" width="10" customWidth="1"/>
    <col min="3" max="3" width="24" customWidth="1"/>
    <col min="4" max="4" width="23.140625" customWidth="1"/>
    <col min="5" max="5" width="20" customWidth="1"/>
    <col min="6" max="6" width="20.28515625" customWidth="1"/>
  </cols>
  <sheetData>
    <row r="1" spans="2:8" ht="2.25" customHeight="1" x14ac:dyDescent="0.25">
      <c r="B1" s="58"/>
      <c r="C1" s="59"/>
      <c r="D1" s="59"/>
      <c r="E1" s="59"/>
      <c r="F1" s="60"/>
    </row>
    <row r="2" spans="2:8" ht="75" x14ac:dyDescent="0.25">
      <c r="B2" s="88" t="s">
        <v>0</v>
      </c>
      <c r="C2" s="88" t="s">
        <v>47</v>
      </c>
      <c r="D2" s="88" t="s">
        <v>48</v>
      </c>
      <c r="E2" s="88" t="s">
        <v>57</v>
      </c>
      <c r="F2" s="88" t="s">
        <v>58</v>
      </c>
      <c r="G2" s="1"/>
      <c r="H2" s="1"/>
    </row>
    <row r="3" spans="2:8" x14ac:dyDescent="0.25">
      <c r="B3" s="56">
        <v>2015</v>
      </c>
      <c r="C3" s="56">
        <v>0.51</v>
      </c>
      <c r="D3" s="56">
        <v>0.11</v>
      </c>
      <c r="E3" s="57">
        <v>2.4</v>
      </c>
      <c r="F3" s="56">
        <v>2.4300000000000002</v>
      </c>
    </row>
    <row r="4" spans="2:8" x14ac:dyDescent="0.25">
      <c r="B4" s="56">
        <v>2014</v>
      </c>
      <c r="C4" s="56">
        <v>0.32</v>
      </c>
      <c r="D4" s="56">
        <v>7.0000000000000007E-2</v>
      </c>
      <c r="E4" s="57">
        <v>2.41</v>
      </c>
      <c r="F4" s="56">
        <v>2.41</v>
      </c>
    </row>
    <row r="5" spans="2:8" x14ac:dyDescent="0.25">
      <c r="B5" s="56">
        <v>2013</v>
      </c>
      <c r="C5" s="56">
        <v>0.28999999999999998</v>
      </c>
      <c r="D5" s="56">
        <v>0.05</v>
      </c>
      <c r="E5" s="57">
        <v>1.73</v>
      </c>
      <c r="F5" s="56">
        <v>1.73</v>
      </c>
    </row>
    <row r="6" spans="2:8" x14ac:dyDescent="0.25">
      <c r="B6" s="56">
        <v>2012</v>
      </c>
      <c r="C6" s="56">
        <v>0.33</v>
      </c>
      <c r="D6" s="57">
        <v>0</v>
      </c>
      <c r="E6" s="57">
        <v>1.5</v>
      </c>
      <c r="F6" s="56">
        <v>1.51</v>
      </c>
    </row>
    <row r="7" spans="2:8" x14ac:dyDescent="0.25">
      <c r="B7" s="56">
        <v>2011</v>
      </c>
      <c r="C7" s="57">
        <v>0.3</v>
      </c>
      <c r="D7" s="57">
        <v>0</v>
      </c>
      <c r="E7" s="57">
        <v>1.41</v>
      </c>
      <c r="F7" s="56">
        <v>1.41</v>
      </c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E7" zoomScaleNormal="100" workbookViewId="0">
      <selection activeCell="F27" sqref="F27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bestFit="1" customWidth="1"/>
    <col min="9" max="9" width="13.85546875" customWidth="1"/>
  </cols>
  <sheetData>
    <row r="1" spans="1:11" ht="26.25" customHeight="1" x14ac:dyDescent="0.25"/>
    <row r="2" spans="1:11" x14ac:dyDescent="0.25">
      <c r="A2" s="141" t="s">
        <v>24</v>
      </c>
      <c r="B2" s="141"/>
      <c r="C2" s="141"/>
      <c r="D2" s="141"/>
      <c r="E2" s="141"/>
      <c r="F2" s="141"/>
    </row>
    <row r="3" spans="1:11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11" ht="75.75" customHeight="1" x14ac:dyDescent="0.25">
      <c r="A4" s="127"/>
      <c r="B4" s="129"/>
      <c r="C4" s="129"/>
      <c r="D4" s="129"/>
      <c r="E4" s="129"/>
      <c r="F4" s="129"/>
    </row>
    <row r="5" spans="1:11" x14ac:dyDescent="0.25">
      <c r="A5" s="65">
        <v>2017</v>
      </c>
      <c r="B5" s="101">
        <v>3025</v>
      </c>
      <c r="C5" s="94">
        <v>100</v>
      </c>
      <c r="D5" s="101">
        <f>B5</f>
        <v>3025</v>
      </c>
      <c r="E5" s="95">
        <f t="shared" ref="E5:E25" si="0">$I$5*D5</f>
        <v>425738.5</v>
      </c>
      <c r="F5" s="96">
        <f t="shared" ref="F5:F25" si="1">$I$6*B5</f>
        <v>24048.75</v>
      </c>
      <c r="H5" t="s">
        <v>120</v>
      </c>
      <c r="I5">
        <v>140.74</v>
      </c>
    </row>
    <row r="6" spans="1:11" x14ac:dyDescent="0.25">
      <c r="A6" s="65">
        <v>2018</v>
      </c>
      <c r="B6" s="101">
        <v>3032</v>
      </c>
      <c r="C6" s="94">
        <v>100</v>
      </c>
      <c r="D6" s="101">
        <f>B6-B5</f>
        <v>7</v>
      </c>
      <c r="E6" s="95">
        <f t="shared" si="0"/>
        <v>985.18000000000006</v>
      </c>
      <c r="F6" s="96">
        <f t="shared" si="1"/>
        <v>24104.400000000001</v>
      </c>
      <c r="H6" t="s">
        <v>121</v>
      </c>
      <c r="I6">
        <v>7.95</v>
      </c>
    </row>
    <row r="7" spans="1:11" x14ac:dyDescent="0.25">
      <c r="A7" s="65">
        <v>2019</v>
      </c>
      <c r="B7" s="101">
        <v>3039</v>
      </c>
      <c r="C7" s="94">
        <v>100</v>
      </c>
      <c r="D7" s="101">
        <f>B7-B6</f>
        <v>7</v>
      </c>
      <c r="E7" s="95">
        <f t="shared" si="0"/>
        <v>985.18000000000006</v>
      </c>
      <c r="F7" s="96">
        <f t="shared" si="1"/>
        <v>24160.05</v>
      </c>
    </row>
    <row r="8" spans="1:11" x14ac:dyDescent="0.25">
      <c r="A8" s="65">
        <v>2020</v>
      </c>
      <c r="B8" s="101">
        <v>3046</v>
      </c>
      <c r="C8" s="94">
        <v>100</v>
      </c>
      <c r="D8" s="101">
        <f t="shared" ref="D8:D25" si="2">B8-B7</f>
        <v>7</v>
      </c>
      <c r="E8" s="95">
        <f t="shared" si="0"/>
        <v>985.18000000000006</v>
      </c>
      <c r="F8" s="96">
        <f t="shared" si="1"/>
        <v>24215.7</v>
      </c>
      <c r="H8" t="s">
        <v>124</v>
      </c>
      <c r="I8">
        <f>B25*100*2.25</f>
        <v>713250</v>
      </c>
      <c r="K8">
        <f>B25*2.25</f>
        <v>7132.5</v>
      </c>
    </row>
    <row r="9" spans="1:11" x14ac:dyDescent="0.25">
      <c r="A9" s="65">
        <v>2021</v>
      </c>
      <c r="B9" s="101">
        <v>3054</v>
      </c>
      <c r="C9" s="94">
        <v>100</v>
      </c>
      <c r="D9" s="101">
        <f t="shared" ref="D9:D14" si="3">B9-B8</f>
        <v>8</v>
      </c>
      <c r="E9" s="95">
        <f t="shared" si="0"/>
        <v>1125.92</v>
      </c>
      <c r="F9" s="96">
        <f t="shared" si="1"/>
        <v>24279.3</v>
      </c>
    </row>
    <row r="10" spans="1:11" x14ac:dyDescent="0.25">
      <c r="A10" s="65">
        <v>2022</v>
      </c>
      <c r="B10" s="101">
        <v>3061</v>
      </c>
      <c r="C10" s="94">
        <v>100</v>
      </c>
      <c r="D10" s="101">
        <f t="shared" si="3"/>
        <v>7</v>
      </c>
      <c r="E10" s="95">
        <f t="shared" si="0"/>
        <v>985.18000000000006</v>
      </c>
      <c r="F10" s="96">
        <f t="shared" si="1"/>
        <v>24334.95</v>
      </c>
      <c r="H10" t="s">
        <v>125</v>
      </c>
      <c r="I10" s="92">
        <f>I8+H28</f>
        <v>1676455.8499999996</v>
      </c>
    </row>
    <row r="11" spans="1:11" x14ac:dyDescent="0.25">
      <c r="A11" s="65">
        <v>2023</v>
      </c>
      <c r="B11" s="101">
        <v>3068</v>
      </c>
      <c r="C11" s="94">
        <v>100</v>
      </c>
      <c r="D11" s="101">
        <f t="shared" si="3"/>
        <v>7</v>
      </c>
      <c r="E11" s="95">
        <f t="shared" si="0"/>
        <v>985.18000000000006</v>
      </c>
      <c r="F11" s="96">
        <f t="shared" si="1"/>
        <v>24390.600000000002</v>
      </c>
    </row>
    <row r="12" spans="1:11" x14ac:dyDescent="0.25">
      <c r="A12" s="65">
        <v>2024</v>
      </c>
      <c r="B12" s="101">
        <v>3075</v>
      </c>
      <c r="C12" s="94">
        <v>100</v>
      </c>
      <c r="D12" s="101">
        <f t="shared" si="3"/>
        <v>7</v>
      </c>
      <c r="E12" s="95">
        <f t="shared" si="0"/>
        <v>985.18000000000006</v>
      </c>
      <c r="F12" s="96">
        <f t="shared" si="1"/>
        <v>24446.25</v>
      </c>
    </row>
    <row r="13" spans="1:11" x14ac:dyDescent="0.25">
      <c r="A13" s="65">
        <v>2025</v>
      </c>
      <c r="B13" s="101">
        <v>3082</v>
      </c>
      <c r="C13" s="94">
        <v>100</v>
      </c>
      <c r="D13" s="101">
        <f t="shared" si="3"/>
        <v>7</v>
      </c>
      <c r="E13" s="95">
        <f t="shared" si="0"/>
        <v>985.18000000000006</v>
      </c>
      <c r="F13" s="96">
        <f t="shared" si="1"/>
        <v>24501.9</v>
      </c>
    </row>
    <row r="14" spans="1:11" x14ac:dyDescent="0.25">
      <c r="A14" s="65">
        <v>2026</v>
      </c>
      <c r="B14" s="101">
        <v>3090</v>
      </c>
      <c r="C14" s="94">
        <v>100</v>
      </c>
      <c r="D14" s="101">
        <f t="shared" si="3"/>
        <v>8</v>
      </c>
      <c r="E14" s="95">
        <f t="shared" si="0"/>
        <v>1125.92</v>
      </c>
      <c r="F14" s="96">
        <f t="shared" si="1"/>
        <v>24565.5</v>
      </c>
    </row>
    <row r="15" spans="1:11" x14ac:dyDescent="0.25">
      <c r="A15" s="65">
        <v>2027</v>
      </c>
      <c r="B15" s="101">
        <v>3097</v>
      </c>
      <c r="C15" s="94">
        <v>100</v>
      </c>
      <c r="D15" s="101">
        <f t="shared" si="2"/>
        <v>7</v>
      </c>
      <c r="E15" s="95">
        <f t="shared" si="0"/>
        <v>985.18000000000006</v>
      </c>
      <c r="F15" s="96">
        <f t="shared" si="1"/>
        <v>24621.15</v>
      </c>
    </row>
    <row r="16" spans="1:11" x14ac:dyDescent="0.25">
      <c r="A16" s="65">
        <v>2028</v>
      </c>
      <c r="B16" s="101">
        <v>3104</v>
      </c>
      <c r="C16" s="94">
        <v>100</v>
      </c>
      <c r="D16" s="101">
        <f t="shared" si="2"/>
        <v>7</v>
      </c>
      <c r="E16" s="95">
        <f t="shared" si="0"/>
        <v>985.18000000000006</v>
      </c>
      <c r="F16" s="96">
        <f t="shared" si="1"/>
        <v>24676.799999999999</v>
      </c>
    </row>
    <row r="17" spans="1:8" x14ac:dyDescent="0.25">
      <c r="A17" s="65">
        <v>2029</v>
      </c>
      <c r="B17" s="101">
        <v>3111</v>
      </c>
      <c r="C17" s="94">
        <v>100</v>
      </c>
      <c r="D17" s="101">
        <f t="shared" si="2"/>
        <v>7</v>
      </c>
      <c r="E17" s="95">
        <f t="shared" si="0"/>
        <v>985.18000000000006</v>
      </c>
      <c r="F17" s="96">
        <f t="shared" si="1"/>
        <v>24732.45</v>
      </c>
    </row>
    <row r="18" spans="1:8" x14ac:dyDescent="0.25">
      <c r="A18" s="65">
        <v>2030</v>
      </c>
      <c r="B18" s="101">
        <v>3119</v>
      </c>
      <c r="C18" s="94">
        <v>100</v>
      </c>
      <c r="D18" s="101">
        <f t="shared" si="2"/>
        <v>8</v>
      </c>
      <c r="E18" s="95">
        <f t="shared" si="0"/>
        <v>1125.92</v>
      </c>
      <c r="F18" s="96">
        <f t="shared" si="1"/>
        <v>24796.05</v>
      </c>
    </row>
    <row r="19" spans="1:8" x14ac:dyDescent="0.25">
      <c r="A19" s="65">
        <v>2031</v>
      </c>
      <c r="B19" s="101">
        <v>3126</v>
      </c>
      <c r="C19" s="94">
        <v>100</v>
      </c>
      <c r="D19" s="101">
        <f t="shared" si="2"/>
        <v>7</v>
      </c>
      <c r="E19" s="95">
        <f t="shared" si="0"/>
        <v>985.18000000000006</v>
      </c>
      <c r="F19" s="96">
        <f t="shared" si="1"/>
        <v>24851.7</v>
      </c>
    </row>
    <row r="20" spans="1:8" x14ac:dyDescent="0.25">
      <c r="A20" s="65">
        <v>2032</v>
      </c>
      <c r="B20" s="101">
        <v>3133</v>
      </c>
      <c r="C20" s="94">
        <v>100</v>
      </c>
      <c r="D20" s="101">
        <f t="shared" si="2"/>
        <v>7</v>
      </c>
      <c r="E20" s="95">
        <f t="shared" si="0"/>
        <v>985.18000000000006</v>
      </c>
      <c r="F20" s="96">
        <f t="shared" si="1"/>
        <v>24907.350000000002</v>
      </c>
    </row>
    <row r="21" spans="1:8" x14ac:dyDescent="0.25">
      <c r="A21" s="65">
        <v>2033</v>
      </c>
      <c r="B21" s="101">
        <v>3141</v>
      </c>
      <c r="C21" s="94">
        <v>100</v>
      </c>
      <c r="D21" s="101">
        <f t="shared" si="2"/>
        <v>8</v>
      </c>
      <c r="E21" s="95">
        <f t="shared" si="0"/>
        <v>1125.92</v>
      </c>
      <c r="F21" s="96">
        <f t="shared" si="1"/>
        <v>24970.95</v>
      </c>
    </row>
    <row r="22" spans="1:8" x14ac:dyDescent="0.25">
      <c r="A22" s="65">
        <v>2034</v>
      </c>
      <c r="B22" s="101">
        <v>3148</v>
      </c>
      <c r="C22" s="94">
        <v>100</v>
      </c>
      <c r="D22" s="101">
        <f t="shared" si="2"/>
        <v>7</v>
      </c>
      <c r="E22" s="95">
        <f t="shared" si="0"/>
        <v>985.18000000000006</v>
      </c>
      <c r="F22" s="96">
        <f t="shared" si="1"/>
        <v>25026.600000000002</v>
      </c>
    </row>
    <row r="23" spans="1:8" x14ac:dyDescent="0.25">
      <c r="A23" s="65">
        <v>2035</v>
      </c>
      <c r="B23" s="101">
        <v>3155</v>
      </c>
      <c r="C23" s="94">
        <v>100</v>
      </c>
      <c r="D23" s="101">
        <f t="shared" si="2"/>
        <v>7</v>
      </c>
      <c r="E23" s="95">
        <f t="shared" si="0"/>
        <v>985.18000000000006</v>
      </c>
      <c r="F23" s="96">
        <f t="shared" si="1"/>
        <v>25082.25</v>
      </c>
    </row>
    <row r="24" spans="1:8" x14ac:dyDescent="0.25">
      <c r="A24" s="65">
        <v>2036</v>
      </c>
      <c r="B24" s="101">
        <v>3163</v>
      </c>
      <c r="C24" s="94">
        <v>100</v>
      </c>
      <c r="D24" s="101">
        <f t="shared" si="2"/>
        <v>8</v>
      </c>
      <c r="E24" s="95">
        <f t="shared" si="0"/>
        <v>1125.92</v>
      </c>
      <c r="F24" s="96">
        <f t="shared" si="1"/>
        <v>25145.850000000002</v>
      </c>
    </row>
    <row r="25" spans="1:8" x14ac:dyDescent="0.25">
      <c r="A25" s="65">
        <v>2037</v>
      </c>
      <c r="B25" s="101">
        <v>3170</v>
      </c>
      <c r="C25" s="94">
        <v>100</v>
      </c>
      <c r="D25" s="101">
        <f t="shared" si="2"/>
        <v>7</v>
      </c>
      <c r="E25" s="95">
        <f t="shared" si="0"/>
        <v>985.18000000000006</v>
      </c>
      <c r="F25" s="96">
        <f t="shared" si="1"/>
        <v>25201.5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446145.79999999981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517060.04999999993</v>
      </c>
      <c r="H28" s="92">
        <f>F27+F28</f>
        <v>963205.84999999974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16" t="s">
        <v>116</v>
      </c>
      <c r="B30" s="117"/>
      <c r="C30" s="117"/>
      <c r="D30" s="117"/>
      <c r="E30" s="117"/>
      <c r="F30" s="117"/>
    </row>
    <row r="31" spans="1:8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D3:D4"/>
    <mergeCell ref="F49:F50"/>
    <mergeCell ref="A2:F2"/>
    <mergeCell ref="E3:E4"/>
    <mergeCell ref="A3:A4"/>
    <mergeCell ref="B3:B4"/>
    <mergeCell ref="A30:F30"/>
    <mergeCell ref="A31:F31"/>
    <mergeCell ref="C3:C4"/>
    <mergeCell ref="A27:E27"/>
    <mergeCell ref="A28:E28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0"/>
  <sheetViews>
    <sheetView topLeftCell="F5" zoomScaleNormal="100" workbookViewId="0">
      <selection activeCell="I8" sqref="I8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3.7109375" customWidth="1"/>
  </cols>
  <sheetData>
    <row r="1" spans="1:11" ht="26.25" customHeight="1" x14ac:dyDescent="0.25"/>
    <row r="2" spans="1:11" x14ac:dyDescent="0.25">
      <c r="A2" s="141" t="s">
        <v>24</v>
      </c>
      <c r="B2" s="141"/>
      <c r="C2" s="141"/>
      <c r="D2" s="141"/>
      <c r="E2" s="141"/>
      <c r="F2" s="141"/>
    </row>
    <row r="3" spans="1:11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11" ht="64.150000000000006" customHeight="1" x14ac:dyDescent="0.25">
      <c r="A4" s="127"/>
      <c r="B4" s="129"/>
      <c r="C4" s="129"/>
      <c r="D4" s="129"/>
      <c r="E4" s="129"/>
      <c r="F4" s="129"/>
    </row>
    <row r="5" spans="1:11" x14ac:dyDescent="0.25">
      <c r="A5" s="65">
        <v>2017</v>
      </c>
      <c r="B5" s="101">
        <v>3025</v>
      </c>
      <c r="C5" s="94">
        <v>100</v>
      </c>
      <c r="D5" s="101">
        <f>B5</f>
        <v>3025</v>
      </c>
      <c r="E5" s="95">
        <f>$I$5*D5</f>
        <v>481277.5</v>
      </c>
      <c r="F5" s="96">
        <f>$I$6*B5</f>
        <v>24048.75</v>
      </c>
      <c r="H5" t="s">
        <v>120</v>
      </c>
      <c r="I5">
        <v>159.1</v>
      </c>
    </row>
    <row r="6" spans="1:11" x14ac:dyDescent="0.25">
      <c r="A6" s="65">
        <v>2018</v>
      </c>
      <c r="B6" s="101">
        <v>3032</v>
      </c>
      <c r="C6" s="94">
        <v>100</v>
      </c>
      <c r="D6" s="101">
        <f>B6-B5</f>
        <v>7</v>
      </c>
      <c r="E6" s="95">
        <f t="shared" ref="E6:E25" si="0">$I$5*D6</f>
        <v>1113.7</v>
      </c>
      <c r="F6" s="96">
        <f t="shared" ref="F6:F25" si="1">$I$6*B6</f>
        <v>24104.400000000001</v>
      </c>
      <c r="H6" t="s">
        <v>121</v>
      </c>
      <c r="I6">
        <v>7.95</v>
      </c>
    </row>
    <row r="7" spans="1:11" x14ac:dyDescent="0.25">
      <c r="A7" s="65">
        <v>2019</v>
      </c>
      <c r="B7" s="101">
        <v>3039</v>
      </c>
      <c r="C7" s="94">
        <v>100</v>
      </c>
      <c r="D7" s="101">
        <f t="shared" ref="D7:D25" si="2">B7-B6</f>
        <v>7</v>
      </c>
      <c r="E7" s="95">
        <f t="shared" si="0"/>
        <v>1113.7</v>
      </c>
      <c r="F7" s="96">
        <f t="shared" si="1"/>
        <v>24160.05</v>
      </c>
    </row>
    <row r="8" spans="1:11" x14ac:dyDescent="0.25">
      <c r="A8" s="65">
        <v>2020</v>
      </c>
      <c r="B8" s="101">
        <v>3046</v>
      </c>
      <c r="C8" s="94">
        <v>100</v>
      </c>
      <c r="D8" s="101">
        <f t="shared" si="2"/>
        <v>7</v>
      </c>
      <c r="E8" s="95">
        <f t="shared" si="0"/>
        <v>1113.7</v>
      </c>
      <c r="F8" s="96">
        <f t="shared" si="1"/>
        <v>24215.7</v>
      </c>
      <c r="H8" t="s">
        <v>124</v>
      </c>
      <c r="I8">
        <f>B25*100*3</f>
        <v>951000</v>
      </c>
      <c r="K8" s="102">
        <f>B25*3</f>
        <v>9510</v>
      </c>
    </row>
    <row r="9" spans="1:11" x14ac:dyDescent="0.25">
      <c r="A9" s="65">
        <v>2021</v>
      </c>
      <c r="B9" s="101">
        <v>3054</v>
      </c>
      <c r="C9" s="94">
        <v>100</v>
      </c>
      <c r="D9" s="101">
        <f t="shared" si="2"/>
        <v>8</v>
      </c>
      <c r="E9" s="95">
        <f t="shared" si="0"/>
        <v>1272.8</v>
      </c>
      <c r="F9" s="96">
        <f t="shared" si="1"/>
        <v>24279.3</v>
      </c>
    </row>
    <row r="10" spans="1:11" x14ac:dyDescent="0.25">
      <c r="A10" s="65">
        <v>2022</v>
      </c>
      <c r="B10" s="101">
        <v>3061</v>
      </c>
      <c r="C10" s="94">
        <v>100</v>
      </c>
      <c r="D10" s="101">
        <f t="shared" si="2"/>
        <v>7</v>
      </c>
      <c r="E10" s="95">
        <f t="shared" si="0"/>
        <v>1113.7</v>
      </c>
      <c r="F10" s="96">
        <f t="shared" si="1"/>
        <v>24334.95</v>
      </c>
      <c r="H10" t="s">
        <v>125</v>
      </c>
      <c r="I10" s="92">
        <f>I8+H28</f>
        <v>1972407.05</v>
      </c>
    </row>
    <row r="11" spans="1:11" x14ac:dyDescent="0.25">
      <c r="A11" s="65">
        <v>2023</v>
      </c>
      <c r="B11" s="101">
        <v>3068</v>
      </c>
      <c r="C11" s="94">
        <v>100</v>
      </c>
      <c r="D11" s="101">
        <f t="shared" si="2"/>
        <v>7</v>
      </c>
      <c r="E11" s="95">
        <f t="shared" si="0"/>
        <v>1113.7</v>
      </c>
      <c r="F11" s="96">
        <f t="shared" si="1"/>
        <v>24390.600000000002</v>
      </c>
    </row>
    <row r="12" spans="1:11" x14ac:dyDescent="0.25">
      <c r="A12" s="65">
        <v>2024</v>
      </c>
      <c r="B12" s="101">
        <v>3075</v>
      </c>
      <c r="C12" s="94">
        <v>100</v>
      </c>
      <c r="D12" s="101">
        <f t="shared" si="2"/>
        <v>7</v>
      </c>
      <c r="E12" s="95">
        <f t="shared" si="0"/>
        <v>1113.7</v>
      </c>
      <c r="F12" s="96">
        <f t="shared" si="1"/>
        <v>24446.25</v>
      </c>
    </row>
    <row r="13" spans="1:11" x14ac:dyDescent="0.25">
      <c r="A13" s="65">
        <v>2025</v>
      </c>
      <c r="B13" s="101">
        <v>3082</v>
      </c>
      <c r="C13" s="94">
        <v>100</v>
      </c>
      <c r="D13" s="101">
        <f t="shared" si="2"/>
        <v>7</v>
      </c>
      <c r="E13" s="95">
        <f t="shared" si="0"/>
        <v>1113.7</v>
      </c>
      <c r="F13" s="96">
        <f t="shared" si="1"/>
        <v>24501.9</v>
      </c>
    </row>
    <row r="14" spans="1:11" x14ac:dyDescent="0.25">
      <c r="A14" s="65">
        <v>2026</v>
      </c>
      <c r="B14" s="101">
        <v>3090</v>
      </c>
      <c r="C14" s="94">
        <v>100</v>
      </c>
      <c r="D14" s="101">
        <f t="shared" si="2"/>
        <v>8</v>
      </c>
      <c r="E14" s="95">
        <f t="shared" si="0"/>
        <v>1272.8</v>
      </c>
      <c r="F14" s="96">
        <f t="shared" si="1"/>
        <v>24565.5</v>
      </c>
    </row>
    <row r="15" spans="1:11" x14ac:dyDescent="0.25">
      <c r="A15" s="65">
        <v>2027</v>
      </c>
      <c r="B15" s="101">
        <v>3097</v>
      </c>
      <c r="C15" s="94">
        <v>100</v>
      </c>
      <c r="D15" s="101">
        <f t="shared" si="2"/>
        <v>7</v>
      </c>
      <c r="E15" s="95">
        <f t="shared" si="0"/>
        <v>1113.7</v>
      </c>
      <c r="F15" s="96">
        <f t="shared" si="1"/>
        <v>24621.15</v>
      </c>
    </row>
    <row r="16" spans="1:11" x14ac:dyDescent="0.25">
      <c r="A16" s="65">
        <v>2028</v>
      </c>
      <c r="B16" s="101">
        <v>3104</v>
      </c>
      <c r="C16" s="94">
        <v>100</v>
      </c>
      <c r="D16" s="101">
        <f t="shared" si="2"/>
        <v>7</v>
      </c>
      <c r="E16" s="95">
        <f t="shared" si="0"/>
        <v>1113.7</v>
      </c>
      <c r="F16" s="96">
        <f t="shared" si="1"/>
        <v>24676.799999999999</v>
      </c>
    </row>
    <row r="17" spans="1:10" x14ac:dyDescent="0.25">
      <c r="A17" s="65">
        <v>2029</v>
      </c>
      <c r="B17" s="101">
        <v>3111</v>
      </c>
      <c r="C17" s="94">
        <v>100</v>
      </c>
      <c r="D17" s="101">
        <f t="shared" si="2"/>
        <v>7</v>
      </c>
      <c r="E17" s="95">
        <f t="shared" si="0"/>
        <v>1113.7</v>
      </c>
      <c r="F17" s="96">
        <f t="shared" si="1"/>
        <v>24732.45</v>
      </c>
    </row>
    <row r="18" spans="1:10" x14ac:dyDescent="0.25">
      <c r="A18" s="65">
        <v>2030</v>
      </c>
      <c r="B18" s="101">
        <v>3119</v>
      </c>
      <c r="C18" s="94">
        <v>100</v>
      </c>
      <c r="D18" s="101">
        <f t="shared" si="2"/>
        <v>8</v>
      </c>
      <c r="E18" s="95">
        <f t="shared" si="0"/>
        <v>1272.8</v>
      </c>
      <c r="F18" s="96">
        <f t="shared" si="1"/>
        <v>24796.05</v>
      </c>
    </row>
    <row r="19" spans="1:10" x14ac:dyDescent="0.25">
      <c r="A19" s="65">
        <v>2031</v>
      </c>
      <c r="B19" s="101">
        <v>3126</v>
      </c>
      <c r="C19" s="94">
        <v>100</v>
      </c>
      <c r="D19" s="101">
        <f t="shared" si="2"/>
        <v>7</v>
      </c>
      <c r="E19" s="95">
        <f t="shared" si="0"/>
        <v>1113.7</v>
      </c>
      <c r="F19" s="96">
        <f t="shared" si="1"/>
        <v>24851.7</v>
      </c>
    </row>
    <row r="20" spans="1:10" x14ac:dyDescent="0.25">
      <c r="A20" s="65">
        <v>2032</v>
      </c>
      <c r="B20" s="101">
        <v>3133</v>
      </c>
      <c r="C20" s="94">
        <v>100</v>
      </c>
      <c r="D20" s="101">
        <f t="shared" si="2"/>
        <v>7</v>
      </c>
      <c r="E20" s="95">
        <f t="shared" si="0"/>
        <v>1113.7</v>
      </c>
      <c r="F20" s="96">
        <f t="shared" si="1"/>
        <v>24907.350000000002</v>
      </c>
      <c r="J20">
        <f>150*B25*0.8/86400</f>
        <v>4.4027777777777777</v>
      </c>
    </row>
    <row r="21" spans="1:10" x14ac:dyDescent="0.25">
      <c r="A21" s="65">
        <v>2033</v>
      </c>
      <c r="B21" s="101">
        <v>3141</v>
      </c>
      <c r="C21" s="94">
        <v>100</v>
      </c>
      <c r="D21" s="101">
        <f t="shared" si="2"/>
        <v>8</v>
      </c>
      <c r="E21" s="95">
        <f t="shared" si="0"/>
        <v>1272.8</v>
      </c>
      <c r="F21" s="96">
        <f t="shared" si="1"/>
        <v>24970.95</v>
      </c>
    </row>
    <row r="22" spans="1:10" x14ac:dyDescent="0.25">
      <c r="A22" s="65">
        <v>2034</v>
      </c>
      <c r="B22" s="101">
        <v>3148</v>
      </c>
      <c r="C22" s="94">
        <v>100</v>
      </c>
      <c r="D22" s="101">
        <f t="shared" si="2"/>
        <v>7</v>
      </c>
      <c r="E22" s="95">
        <f t="shared" si="0"/>
        <v>1113.7</v>
      </c>
      <c r="F22" s="96">
        <f t="shared" si="1"/>
        <v>25026.600000000002</v>
      </c>
    </row>
    <row r="23" spans="1:10" x14ac:dyDescent="0.25">
      <c r="A23" s="65">
        <v>2035</v>
      </c>
      <c r="B23" s="101">
        <v>3155</v>
      </c>
      <c r="C23" s="94">
        <v>100</v>
      </c>
      <c r="D23" s="101">
        <f t="shared" si="2"/>
        <v>7</v>
      </c>
      <c r="E23" s="95">
        <f t="shared" si="0"/>
        <v>1113.7</v>
      </c>
      <c r="F23" s="96">
        <f t="shared" si="1"/>
        <v>25082.25</v>
      </c>
    </row>
    <row r="24" spans="1:10" x14ac:dyDescent="0.25">
      <c r="A24" s="65">
        <v>2036</v>
      </c>
      <c r="B24" s="101">
        <v>3163</v>
      </c>
      <c r="C24" s="94">
        <v>100</v>
      </c>
      <c r="D24" s="101">
        <f t="shared" si="2"/>
        <v>8</v>
      </c>
      <c r="E24" s="95">
        <f t="shared" si="0"/>
        <v>1272.8</v>
      </c>
      <c r="F24" s="96">
        <f t="shared" si="1"/>
        <v>25145.850000000002</v>
      </c>
    </row>
    <row r="25" spans="1:10" x14ac:dyDescent="0.25">
      <c r="A25" s="65">
        <v>2037</v>
      </c>
      <c r="B25" s="101">
        <v>3170</v>
      </c>
      <c r="C25" s="94">
        <v>100</v>
      </c>
      <c r="D25" s="101">
        <f t="shared" si="2"/>
        <v>7</v>
      </c>
      <c r="E25" s="95">
        <f t="shared" si="0"/>
        <v>1113.7</v>
      </c>
      <c r="F25" s="96">
        <f t="shared" si="1"/>
        <v>25201.5</v>
      </c>
    </row>
    <row r="26" spans="1:10" ht="5.25" customHeight="1" x14ac:dyDescent="0.25">
      <c r="A26" s="68"/>
      <c r="B26" s="74"/>
      <c r="C26" s="74"/>
      <c r="D26" s="74"/>
      <c r="E26" s="68"/>
      <c r="F26" s="68"/>
    </row>
    <row r="27" spans="1:10" x14ac:dyDescent="0.25">
      <c r="A27" s="148" t="s">
        <v>113</v>
      </c>
      <c r="B27" s="148"/>
      <c r="C27" s="148"/>
      <c r="D27" s="148"/>
      <c r="E27" s="148"/>
      <c r="F27" s="99">
        <f>SUM(E5:E25)</f>
        <v>504347.00000000012</v>
      </c>
    </row>
    <row r="28" spans="1:10" x14ac:dyDescent="0.25">
      <c r="A28" s="148" t="s">
        <v>114</v>
      </c>
      <c r="B28" s="148"/>
      <c r="C28" s="148"/>
      <c r="D28" s="148"/>
      <c r="E28" s="148"/>
      <c r="F28" s="93">
        <f>SUM(F5:F25)</f>
        <v>517060.04999999993</v>
      </c>
      <c r="H28" s="92">
        <f>F27+F28</f>
        <v>1021407.05</v>
      </c>
    </row>
    <row r="29" spans="1:10" ht="5.25" customHeight="1" x14ac:dyDescent="0.25">
      <c r="A29" s="68"/>
      <c r="B29" s="68"/>
      <c r="C29" s="68"/>
      <c r="D29" s="68"/>
      <c r="E29" s="68"/>
      <c r="F29" s="68"/>
    </row>
    <row r="30" spans="1:10" x14ac:dyDescent="0.25">
      <c r="A30" s="116" t="s">
        <v>116</v>
      </c>
      <c r="B30" s="117"/>
      <c r="C30" s="117"/>
      <c r="D30" s="117"/>
      <c r="E30" s="117"/>
      <c r="F30" s="117"/>
    </row>
    <row r="31" spans="1:10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A27:E27"/>
    <mergeCell ref="A28:E28"/>
    <mergeCell ref="A30:F30"/>
    <mergeCell ref="A31:F31"/>
    <mergeCell ref="F49:F50"/>
    <mergeCell ref="A2:F2"/>
    <mergeCell ref="A3:A4"/>
    <mergeCell ref="B3:B4"/>
    <mergeCell ref="C3:C4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50"/>
  <sheetViews>
    <sheetView topLeftCell="F6" zoomScaleNormal="100" workbookViewId="0">
      <selection activeCell="I8" sqref="I8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4.85546875" bestFit="1" customWidth="1"/>
  </cols>
  <sheetData>
    <row r="2" spans="1:9" x14ac:dyDescent="0.25">
      <c r="A2" s="141" t="s">
        <v>24</v>
      </c>
      <c r="B2" s="141"/>
      <c r="C2" s="141"/>
      <c r="D2" s="141"/>
      <c r="E2" s="141"/>
      <c r="F2" s="141"/>
    </row>
    <row r="3" spans="1:9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9" ht="75.75" customHeight="1" x14ac:dyDescent="0.25">
      <c r="A4" s="127"/>
      <c r="B4" s="129"/>
      <c r="C4" s="129"/>
      <c r="D4" s="129"/>
      <c r="E4" s="129"/>
      <c r="F4" s="129"/>
    </row>
    <row r="5" spans="1:9" x14ac:dyDescent="0.25">
      <c r="A5" s="65">
        <v>2017</v>
      </c>
      <c r="B5" s="101">
        <v>3025</v>
      </c>
      <c r="C5" s="94">
        <v>100</v>
      </c>
      <c r="D5" s="101">
        <f>B5</f>
        <v>3025</v>
      </c>
      <c r="E5" s="95">
        <f>$I$5*D5</f>
        <v>832964</v>
      </c>
      <c r="F5" s="96">
        <f>$I$6*B5</f>
        <v>92565</v>
      </c>
      <c r="H5" t="s">
        <v>120</v>
      </c>
      <c r="I5">
        <v>275.36</v>
      </c>
    </row>
    <row r="6" spans="1:9" x14ac:dyDescent="0.25">
      <c r="A6" s="65">
        <v>2018</v>
      </c>
      <c r="B6" s="101">
        <v>3032</v>
      </c>
      <c r="C6" s="94">
        <v>100</v>
      </c>
      <c r="D6" s="101">
        <f>B6-B5</f>
        <v>7</v>
      </c>
      <c r="E6" s="95">
        <f t="shared" ref="E6:E25" si="0">$I$5*D6</f>
        <v>1927.52</v>
      </c>
      <c r="F6" s="96">
        <f t="shared" ref="F6:F25" si="1">$I$6*B6</f>
        <v>92779.199999999997</v>
      </c>
      <c r="H6" t="s">
        <v>121</v>
      </c>
      <c r="I6">
        <v>30.6</v>
      </c>
    </row>
    <row r="7" spans="1:9" x14ac:dyDescent="0.25">
      <c r="A7" s="65">
        <v>2019</v>
      </c>
      <c r="B7" s="101">
        <v>3039</v>
      </c>
      <c r="C7" s="94">
        <v>100</v>
      </c>
      <c r="D7" s="101">
        <f t="shared" ref="D7:D25" si="2">B7-B6</f>
        <v>7</v>
      </c>
      <c r="E7" s="95">
        <f t="shared" si="0"/>
        <v>1927.52</v>
      </c>
      <c r="F7" s="96">
        <f t="shared" si="1"/>
        <v>92993.400000000009</v>
      </c>
    </row>
    <row r="8" spans="1:9" x14ac:dyDescent="0.25">
      <c r="A8" s="65">
        <v>2020</v>
      </c>
      <c r="B8" s="101">
        <v>3046</v>
      </c>
      <c r="C8" s="94">
        <v>100</v>
      </c>
      <c r="D8" s="101">
        <f t="shared" si="2"/>
        <v>7</v>
      </c>
      <c r="E8" s="95">
        <f t="shared" si="0"/>
        <v>1927.52</v>
      </c>
      <c r="F8" s="96">
        <f t="shared" si="1"/>
        <v>93207.6</v>
      </c>
      <c r="H8" t="s">
        <v>124</v>
      </c>
      <c r="I8">
        <f>B25*100*0.185</f>
        <v>58645</v>
      </c>
    </row>
    <row r="9" spans="1:9" x14ac:dyDescent="0.25">
      <c r="A9" s="65">
        <v>2021</v>
      </c>
      <c r="B9" s="101">
        <v>3054</v>
      </c>
      <c r="C9" s="94">
        <v>100</v>
      </c>
      <c r="D9" s="101">
        <f t="shared" si="2"/>
        <v>8</v>
      </c>
      <c r="E9" s="95">
        <f t="shared" si="0"/>
        <v>2202.88</v>
      </c>
      <c r="F9" s="96">
        <f t="shared" si="1"/>
        <v>93452.400000000009</v>
      </c>
    </row>
    <row r="10" spans="1:9" x14ac:dyDescent="0.25">
      <c r="A10" s="65">
        <v>2022</v>
      </c>
      <c r="B10" s="101">
        <v>3061</v>
      </c>
      <c r="C10" s="94">
        <v>100</v>
      </c>
      <c r="D10" s="101">
        <f t="shared" si="2"/>
        <v>7</v>
      </c>
      <c r="E10" s="95">
        <f t="shared" si="0"/>
        <v>1927.52</v>
      </c>
      <c r="F10" s="96">
        <f t="shared" si="1"/>
        <v>93666.6</v>
      </c>
      <c r="H10" t="s">
        <v>125</v>
      </c>
      <c r="I10" s="92">
        <f>I8+H28</f>
        <v>2921729.6000000006</v>
      </c>
    </row>
    <row r="11" spans="1:9" x14ac:dyDescent="0.25">
      <c r="A11" s="65">
        <v>2023</v>
      </c>
      <c r="B11" s="101">
        <v>3068</v>
      </c>
      <c r="C11" s="94">
        <v>100</v>
      </c>
      <c r="D11" s="101">
        <f t="shared" si="2"/>
        <v>7</v>
      </c>
      <c r="E11" s="95">
        <f t="shared" si="0"/>
        <v>1927.52</v>
      </c>
      <c r="F11" s="96">
        <f t="shared" si="1"/>
        <v>93880.8</v>
      </c>
    </row>
    <row r="12" spans="1:9" x14ac:dyDescent="0.25">
      <c r="A12" s="65">
        <v>2024</v>
      </c>
      <c r="B12" s="101">
        <v>3075</v>
      </c>
      <c r="C12" s="94">
        <v>100</v>
      </c>
      <c r="D12" s="101">
        <f t="shared" si="2"/>
        <v>7</v>
      </c>
      <c r="E12" s="95">
        <f t="shared" si="0"/>
        <v>1927.52</v>
      </c>
      <c r="F12" s="96">
        <f t="shared" si="1"/>
        <v>94095</v>
      </c>
    </row>
    <row r="13" spans="1:9" x14ac:dyDescent="0.25">
      <c r="A13" s="65">
        <v>2025</v>
      </c>
      <c r="B13" s="101">
        <v>3082</v>
      </c>
      <c r="C13" s="94">
        <v>100</v>
      </c>
      <c r="D13" s="101">
        <f t="shared" si="2"/>
        <v>7</v>
      </c>
      <c r="E13" s="95">
        <f t="shared" si="0"/>
        <v>1927.52</v>
      </c>
      <c r="F13" s="96">
        <f t="shared" si="1"/>
        <v>94309.200000000012</v>
      </c>
    </row>
    <row r="14" spans="1:9" x14ac:dyDescent="0.25">
      <c r="A14" s="65">
        <v>2026</v>
      </c>
      <c r="B14" s="101">
        <v>3090</v>
      </c>
      <c r="C14" s="94">
        <v>100</v>
      </c>
      <c r="D14" s="101">
        <f t="shared" si="2"/>
        <v>8</v>
      </c>
      <c r="E14" s="95">
        <f t="shared" si="0"/>
        <v>2202.88</v>
      </c>
      <c r="F14" s="96">
        <f t="shared" si="1"/>
        <v>94554</v>
      </c>
    </row>
    <row r="15" spans="1:9" x14ac:dyDescent="0.25">
      <c r="A15" s="65">
        <v>2027</v>
      </c>
      <c r="B15" s="101">
        <v>3097</v>
      </c>
      <c r="C15" s="94">
        <v>100</v>
      </c>
      <c r="D15" s="101">
        <f t="shared" si="2"/>
        <v>7</v>
      </c>
      <c r="E15" s="95">
        <f t="shared" si="0"/>
        <v>1927.52</v>
      </c>
      <c r="F15" s="96">
        <f t="shared" si="1"/>
        <v>94768.200000000012</v>
      </c>
    </row>
    <row r="16" spans="1:9" x14ac:dyDescent="0.25">
      <c r="A16" s="65">
        <v>2028</v>
      </c>
      <c r="B16" s="101">
        <v>3104</v>
      </c>
      <c r="C16" s="94">
        <v>100</v>
      </c>
      <c r="D16" s="101">
        <f t="shared" si="2"/>
        <v>7</v>
      </c>
      <c r="E16" s="95">
        <f t="shared" si="0"/>
        <v>1927.52</v>
      </c>
      <c r="F16" s="96">
        <f t="shared" si="1"/>
        <v>94982.400000000009</v>
      </c>
    </row>
    <row r="17" spans="1:8" x14ac:dyDescent="0.25">
      <c r="A17" s="65">
        <v>2029</v>
      </c>
      <c r="B17" s="101">
        <v>3111</v>
      </c>
      <c r="C17" s="94">
        <v>100</v>
      </c>
      <c r="D17" s="101">
        <f t="shared" si="2"/>
        <v>7</v>
      </c>
      <c r="E17" s="95">
        <f t="shared" si="0"/>
        <v>1927.52</v>
      </c>
      <c r="F17" s="96">
        <f t="shared" si="1"/>
        <v>95196.6</v>
      </c>
    </row>
    <row r="18" spans="1:8" x14ac:dyDescent="0.25">
      <c r="A18" s="65">
        <v>2030</v>
      </c>
      <c r="B18" s="101">
        <v>3119</v>
      </c>
      <c r="C18" s="94">
        <v>100</v>
      </c>
      <c r="D18" s="101">
        <f t="shared" si="2"/>
        <v>8</v>
      </c>
      <c r="E18" s="95">
        <f t="shared" si="0"/>
        <v>2202.88</v>
      </c>
      <c r="F18" s="96">
        <f t="shared" si="1"/>
        <v>95441.400000000009</v>
      </c>
    </row>
    <row r="19" spans="1:8" x14ac:dyDescent="0.25">
      <c r="A19" s="65">
        <v>2031</v>
      </c>
      <c r="B19" s="101">
        <v>3126</v>
      </c>
      <c r="C19" s="94">
        <v>100</v>
      </c>
      <c r="D19" s="101">
        <f t="shared" si="2"/>
        <v>7</v>
      </c>
      <c r="E19" s="95">
        <f t="shared" si="0"/>
        <v>1927.52</v>
      </c>
      <c r="F19" s="96">
        <f t="shared" si="1"/>
        <v>95655.6</v>
      </c>
    </row>
    <row r="20" spans="1:8" x14ac:dyDescent="0.25">
      <c r="A20" s="65">
        <v>2032</v>
      </c>
      <c r="B20" s="101">
        <v>3133</v>
      </c>
      <c r="C20" s="94">
        <v>100</v>
      </c>
      <c r="D20" s="101">
        <f t="shared" si="2"/>
        <v>7</v>
      </c>
      <c r="E20" s="95">
        <f t="shared" si="0"/>
        <v>1927.52</v>
      </c>
      <c r="F20" s="96">
        <f t="shared" si="1"/>
        <v>95869.8</v>
      </c>
    </row>
    <row r="21" spans="1:8" x14ac:dyDescent="0.25">
      <c r="A21" s="65">
        <v>2033</v>
      </c>
      <c r="B21" s="101">
        <v>3141</v>
      </c>
      <c r="C21" s="94">
        <v>100</v>
      </c>
      <c r="D21" s="101">
        <f t="shared" si="2"/>
        <v>8</v>
      </c>
      <c r="E21" s="95">
        <f t="shared" si="0"/>
        <v>2202.88</v>
      </c>
      <c r="F21" s="96">
        <f t="shared" si="1"/>
        <v>96114.6</v>
      </c>
    </row>
    <row r="22" spans="1:8" x14ac:dyDescent="0.25">
      <c r="A22" s="65">
        <v>2034</v>
      </c>
      <c r="B22" s="101">
        <v>3148</v>
      </c>
      <c r="C22" s="94">
        <v>100</v>
      </c>
      <c r="D22" s="101">
        <f t="shared" si="2"/>
        <v>7</v>
      </c>
      <c r="E22" s="95">
        <f t="shared" si="0"/>
        <v>1927.52</v>
      </c>
      <c r="F22" s="96">
        <f t="shared" si="1"/>
        <v>96328.8</v>
      </c>
    </row>
    <row r="23" spans="1:8" x14ac:dyDescent="0.25">
      <c r="A23" s="65">
        <v>2035</v>
      </c>
      <c r="B23" s="101">
        <v>3155</v>
      </c>
      <c r="C23" s="94">
        <v>100</v>
      </c>
      <c r="D23" s="101">
        <f t="shared" si="2"/>
        <v>7</v>
      </c>
      <c r="E23" s="95">
        <f t="shared" si="0"/>
        <v>1927.52</v>
      </c>
      <c r="F23" s="96">
        <f t="shared" si="1"/>
        <v>96543</v>
      </c>
    </row>
    <row r="24" spans="1:8" x14ac:dyDescent="0.25">
      <c r="A24" s="65">
        <v>2036</v>
      </c>
      <c r="B24" s="101">
        <v>3163</v>
      </c>
      <c r="C24" s="94">
        <v>100</v>
      </c>
      <c r="D24" s="101">
        <f t="shared" si="2"/>
        <v>8</v>
      </c>
      <c r="E24" s="95">
        <f t="shared" si="0"/>
        <v>2202.88</v>
      </c>
      <c r="F24" s="96">
        <f t="shared" si="1"/>
        <v>96787.8</v>
      </c>
    </row>
    <row r="25" spans="1:8" x14ac:dyDescent="0.25">
      <c r="A25" s="65">
        <v>2037</v>
      </c>
      <c r="B25" s="101">
        <v>3170</v>
      </c>
      <c r="C25" s="94">
        <v>100</v>
      </c>
      <c r="D25" s="101">
        <f t="shared" si="2"/>
        <v>7</v>
      </c>
      <c r="E25" s="95">
        <f t="shared" si="0"/>
        <v>1927.52</v>
      </c>
      <c r="F25" s="96">
        <f t="shared" si="1"/>
        <v>97002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872891.2000000003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1990193.4000000004</v>
      </c>
      <c r="H28" s="92">
        <f>F27+F28</f>
        <v>2863084.6000000006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16" t="s">
        <v>116</v>
      </c>
      <c r="B30" s="117"/>
      <c r="C30" s="117"/>
      <c r="D30" s="117"/>
      <c r="E30" s="117"/>
      <c r="F30" s="117"/>
    </row>
    <row r="31" spans="1:8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A27:E27"/>
    <mergeCell ref="A28:E28"/>
    <mergeCell ref="A30:F30"/>
    <mergeCell ref="A31:F31"/>
    <mergeCell ref="F49:F50"/>
    <mergeCell ref="A2:F2"/>
    <mergeCell ref="A3:A4"/>
    <mergeCell ref="B3:B4"/>
    <mergeCell ref="C3:C4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opLeftCell="F5" zoomScaleNormal="100" workbookViewId="0">
      <selection activeCell="I10" sqref="I10"/>
    </sheetView>
  </sheetViews>
  <sheetFormatPr defaultRowHeight="15" x14ac:dyDescent="0.25"/>
  <cols>
    <col min="1" max="1" width="10.5703125" customWidth="1"/>
    <col min="2" max="3" width="16.140625" customWidth="1"/>
    <col min="4" max="4" width="18.28515625" customWidth="1"/>
    <col min="5" max="5" width="15" customWidth="1"/>
    <col min="6" max="6" width="20.42578125" customWidth="1"/>
    <col min="8" max="8" width="16.85546875" customWidth="1"/>
    <col min="9" max="9" width="13.28515625" bestFit="1" customWidth="1"/>
  </cols>
  <sheetData>
    <row r="1" spans="1:9" ht="7.9" customHeight="1" x14ac:dyDescent="0.25"/>
    <row r="2" spans="1:9" x14ac:dyDescent="0.25">
      <c r="A2" s="141" t="s">
        <v>24</v>
      </c>
      <c r="B2" s="141"/>
      <c r="C2" s="141"/>
      <c r="D2" s="141"/>
      <c r="E2" s="141"/>
      <c r="F2" s="141"/>
    </row>
    <row r="3" spans="1:9" ht="15" customHeight="1" x14ac:dyDescent="0.25">
      <c r="A3" s="126" t="s">
        <v>0</v>
      </c>
      <c r="B3" s="128" t="s">
        <v>123</v>
      </c>
      <c r="C3" s="128" t="s">
        <v>118</v>
      </c>
      <c r="D3" s="128" t="s">
        <v>119</v>
      </c>
      <c r="E3" s="128" t="s">
        <v>122</v>
      </c>
      <c r="F3" s="128" t="s">
        <v>112</v>
      </c>
    </row>
    <row r="4" spans="1:9" ht="59.45" customHeight="1" x14ac:dyDescent="0.25">
      <c r="A4" s="127"/>
      <c r="B4" s="129"/>
      <c r="C4" s="129"/>
      <c r="D4" s="129"/>
      <c r="E4" s="129"/>
      <c r="F4" s="129"/>
    </row>
    <row r="5" spans="1:9" x14ac:dyDescent="0.25">
      <c r="A5" s="65">
        <v>2017</v>
      </c>
      <c r="B5" s="101">
        <v>3025</v>
      </c>
      <c r="C5" s="94">
        <v>100</v>
      </c>
      <c r="D5" s="101">
        <f>B5</f>
        <v>3025</v>
      </c>
      <c r="E5" s="95">
        <f>$I$5*D5</f>
        <v>296177.75</v>
      </c>
      <c r="F5" s="96">
        <f>$I$6*B5</f>
        <v>29614.749999999996</v>
      </c>
      <c r="H5" t="s">
        <v>120</v>
      </c>
      <c r="I5">
        <v>97.91</v>
      </c>
    </row>
    <row r="6" spans="1:9" x14ac:dyDescent="0.25">
      <c r="A6" s="65">
        <v>2018</v>
      </c>
      <c r="B6" s="101">
        <v>3032</v>
      </c>
      <c r="C6" s="94">
        <v>100</v>
      </c>
      <c r="D6" s="101">
        <f>B6-B5</f>
        <v>7</v>
      </c>
      <c r="E6" s="95">
        <f t="shared" ref="E6:E25" si="0">$I$5*D6</f>
        <v>685.37</v>
      </c>
      <c r="F6" s="96">
        <f t="shared" ref="F6:F25" si="1">$I$6*B6</f>
        <v>29683.279999999999</v>
      </c>
      <c r="H6" t="s">
        <v>121</v>
      </c>
      <c r="I6">
        <v>9.7899999999999991</v>
      </c>
    </row>
    <row r="7" spans="1:9" x14ac:dyDescent="0.25">
      <c r="A7" s="65">
        <v>2019</v>
      </c>
      <c r="B7" s="101">
        <v>3039</v>
      </c>
      <c r="C7" s="94">
        <v>100</v>
      </c>
      <c r="D7" s="101">
        <f t="shared" ref="D7:D25" si="2">B7-B6</f>
        <v>7</v>
      </c>
      <c r="E7" s="95">
        <f t="shared" si="0"/>
        <v>685.37</v>
      </c>
      <c r="F7" s="96">
        <f t="shared" si="1"/>
        <v>29751.809999999998</v>
      </c>
    </row>
    <row r="8" spans="1:9" x14ac:dyDescent="0.25">
      <c r="A8" s="65">
        <v>2020</v>
      </c>
      <c r="B8" s="101">
        <v>3046</v>
      </c>
      <c r="C8" s="94">
        <v>100</v>
      </c>
      <c r="D8" s="101">
        <f t="shared" si="2"/>
        <v>7</v>
      </c>
      <c r="E8" s="95">
        <f t="shared" si="0"/>
        <v>685.37</v>
      </c>
      <c r="F8" s="96">
        <f t="shared" si="1"/>
        <v>29820.339999999997</v>
      </c>
      <c r="H8" t="s">
        <v>124</v>
      </c>
      <c r="I8" s="55">
        <f>B25*100*0.065</f>
        <v>20605</v>
      </c>
    </row>
    <row r="9" spans="1:9" x14ac:dyDescent="0.25">
      <c r="A9" s="65">
        <v>2021</v>
      </c>
      <c r="B9" s="101">
        <v>3054</v>
      </c>
      <c r="C9" s="94">
        <v>100</v>
      </c>
      <c r="D9" s="101">
        <f t="shared" si="2"/>
        <v>8</v>
      </c>
      <c r="E9" s="95">
        <f t="shared" si="0"/>
        <v>783.28</v>
      </c>
      <c r="F9" s="96">
        <f t="shared" si="1"/>
        <v>29898.659999999996</v>
      </c>
    </row>
    <row r="10" spans="1:9" x14ac:dyDescent="0.25">
      <c r="A10" s="65">
        <v>2022</v>
      </c>
      <c r="B10" s="101">
        <v>3061</v>
      </c>
      <c r="C10" s="94">
        <v>100</v>
      </c>
      <c r="D10" s="101">
        <f t="shared" si="2"/>
        <v>7</v>
      </c>
      <c r="E10" s="95">
        <f t="shared" si="0"/>
        <v>685.37</v>
      </c>
      <c r="F10" s="96">
        <f t="shared" si="1"/>
        <v>29967.19</v>
      </c>
      <c r="H10" t="s">
        <v>125</v>
      </c>
      <c r="I10" s="92">
        <f>I8+H28</f>
        <v>967711.51000000013</v>
      </c>
    </row>
    <row r="11" spans="1:9" x14ac:dyDescent="0.25">
      <c r="A11" s="65">
        <v>2023</v>
      </c>
      <c r="B11" s="101">
        <v>3068</v>
      </c>
      <c r="C11" s="94">
        <v>100</v>
      </c>
      <c r="D11" s="101">
        <f t="shared" si="2"/>
        <v>7</v>
      </c>
      <c r="E11" s="95">
        <f t="shared" si="0"/>
        <v>685.37</v>
      </c>
      <c r="F11" s="96">
        <f t="shared" si="1"/>
        <v>30035.719999999998</v>
      </c>
    </row>
    <row r="12" spans="1:9" x14ac:dyDescent="0.25">
      <c r="A12" s="65">
        <v>2024</v>
      </c>
      <c r="B12" s="101">
        <v>3075</v>
      </c>
      <c r="C12" s="94">
        <v>100</v>
      </c>
      <c r="D12" s="101">
        <f t="shared" si="2"/>
        <v>7</v>
      </c>
      <c r="E12" s="95">
        <f t="shared" si="0"/>
        <v>685.37</v>
      </c>
      <c r="F12" s="96">
        <f t="shared" si="1"/>
        <v>30104.249999999996</v>
      </c>
    </row>
    <row r="13" spans="1:9" x14ac:dyDescent="0.25">
      <c r="A13" s="65">
        <v>2025</v>
      </c>
      <c r="B13" s="101">
        <v>3082</v>
      </c>
      <c r="C13" s="94">
        <v>100</v>
      </c>
      <c r="D13" s="101">
        <f t="shared" si="2"/>
        <v>7</v>
      </c>
      <c r="E13" s="95">
        <f t="shared" si="0"/>
        <v>685.37</v>
      </c>
      <c r="F13" s="96">
        <f t="shared" si="1"/>
        <v>30172.78</v>
      </c>
    </row>
    <row r="14" spans="1:9" x14ac:dyDescent="0.25">
      <c r="A14" s="65">
        <v>2026</v>
      </c>
      <c r="B14" s="101">
        <v>3090</v>
      </c>
      <c r="C14" s="94">
        <v>100</v>
      </c>
      <c r="D14" s="101">
        <f t="shared" si="2"/>
        <v>8</v>
      </c>
      <c r="E14" s="95">
        <f t="shared" si="0"/>
        <v>783.28</v>
      </c>
      <c r="F14" s="96">
        <f t="shared" si="1"/>
        <v>30251.1</v>
      </c>
    </row>
    <row r="15" spans="1:9" x14ac:dyDescent="0.25">
      <c r="A15" s="65">
        <v>2027</v>
      </c>
      <c r="B15" s="101">
        <v>3097</v>
      </c>
      <c r="C15" s="94">
        <v>100</v>
      </c>
      <c r="D15" s="101">
        <f t="shared" si="2"/>
        <v>7</v>
      </c>
      <c r="E15" s="95">
        <f t="shared" si="0"/>
        <v>685.37</v>
      </c>
      <c r="F15" s="96">
        <f t="shared" si="1"/>
        <v>30319.629999999997</v>
      </c>
    </row>
    <row r="16" spans="1:9" x14ac:dyDescent="0.25">
      <c r="A16" s="65">
        <v>2028</v>
      </c>
      <c r="B16" s="101">
        <v>3104</v>
      </c>
      <c r="C16" s="94">
        <v>100</v>
      </c>
      <c r="D16" s="101">
        <f t="shared" si="2"/>
        <v>7</v>
      </c>
      <c r="E16" s="95">
        <f t="shared" si="0"/>
        <v>685.37</v>
      </c>
      <c r="F16" s="96">
        <f t="shared" si="1"/>
        <v>30388.159999999996</v>
      </c>
    </row>
    <row r="17" spans="1:8" x14ac:dyDescent="0.25">
      <c r="A17" s="65">
        <v>2029</v>
      </c>
      <c r="B17" s="101">
        <v>3111</v>
      </c>
      <c r="C17" s="94">
        <v>100</v>
      </c>
      <c r="D17" s="101">
        <f t="shared" si="2"/>
        <v>7</v>
      </c>
      <c r="E17" s="95">
        <f t="shared" si="0"/>
        <v>685.37</v>
      </c>
      <c r="F17" s="96">
        <f t="shared" si="1"/>
        <v>30456.69</v>
      </c>
    </row>
    <row r="18" spans="1:8" x14ac:dyDescent="0.25">
      <c r="A18" s="65">
        <v>2030</v>
      </c>
      <c r="B18" s="101">
        <v>3119</v>
      </c>
      <c r="C18" s="94">
        <v>100</v>
      </c>
      <c r="D18" s="101">
        <f t="shared" si="2"/>
        <v>8</v>
      </c>
      <c r="E18" s="95">
        <f t="shared" si="0"/>
        <v>783.28</v>
      </c>
      <c r="F18" s="96">
        <f t="shared" si="1"/>
        <v>30535.01</v>
      </c>
    </row>
    <row r="19" spans="1:8" x14ac:dyDescent="0.25">
      <c r="A19" s="65">
        <v>2031</v>
      </c>
      <c r="B19" s="101">
        <v>3126</v>
      </c>
      <c r="C19" s="94">
        <v>100</v>
      </c>
      <c r="D19" s="101">
        <f t="shared" si="2"/>
        <v>7</v>
      </c>
      <c r="E19" s="95">
        <f t="shared" si="0"/>
        <v>685.37</v>
      </c>
      <c r="F19" s="96">
        <f t="shared" si="1"/>
        <v>30603.539999999997</v>
      </c>
    </row>
    <row r="20" spans="1:8" x14ac:dyDescent="0.25">
      <c r="A20" s="65">
        <v>2032</v>
      </c>
      <c r="B20" s="101">
        <v>3133</v>
      </c>
      <c r="C20" s="94">
        <v>100</v>
      </c>
      <c r="D20" s="101">
        <f t="shared" si="2"/>
        <v>7</v>
      </c>
      <c r="E20" s="95">
        <f t="shared" si="0"/>
        <v>685.37</v>
      </c>
      <c r="F20" s="96">
        <f t="shared" si="1"/>
        <v>30672.069999999996</v>
      </c>
    </row>
    <row r="21" spans="1:8" x14ac:dyDescent="0.25">
      <c r="A21" s="65">
        <v>2033</v>
      </c>
      <c r="B21" s="101">
        <v>3141</v>
      </c>
      <c r="C21" s="94">
        <v>100</v>
      </c>
      <c r="D21" s="101">
        <f t="shared" si="2"/>
        <v>8</v>
      </c>
      <c r="E21" s="95">
        <f t="shared" si="0"/>
        <v>783.28</v>
      </c>
      <c r="F21" s="96">
        <f t="shared" si="1"/>
        <v>30750.389999999996</v>
      </c>
    </row>
    <row r="22" spans="1:8" x14ac:dyDescent="0.25">
      <c r="A22" s="65">
        <v>2034</v>
      </c>
      <c r="B22" s="101">
        <v>3148</v>
      </c>
      <c r="C22" s="94">
        <v>100</v>
      </c>
      <c r="D22" s="101">
        <f t="shared" si="2"/>
        <v>7</v>
      </c>
      <c r="E22" s="95">
        <f t="shared" si="0"/>
        <v>685.37</v>
      </c>
      <c r="F22" s="96">
        <f t="shared" si="1"/>
        <v>30818.92</v>
      </c>
    </row>
    <row r="23" spans="1:8" x14ac:dyDescent="0.25">
      <c r="A23" s="65">
        <v>2035</v>
      </c>
      <c r="B23" s="101">
        <v>3155</v>
      </c>
      <c r="C23" s="94">
        <v>100</v>
      </c>
      <c r="D23" s="101">
        <f t="shared" si="2"/>
        <v>7</v>
      </c>
      <c r="E23" s="95">
        <f t="shared" si="0"/>
        <v>685.37</v>
      </c>
      <c r="F23" s="96">
        <f t="shared" si="1"/>
        <v>30887.449999999997</v>
      </c>
    </row>
    <row r="24" spans="1:8" x14ac:dyDescent="0.25">
      <c r="A24" s="65">
        <v>2036</v>
      </c>
      <c r="B24" s="101">
        <v>3163</v>
      </c>
      <c r="C24" s="94">
        <v>100</v>
      </c>
      <c r="D24" s="101">
        <f t="shared" si="2"/>
        <v>8</v>
      </c>
      <c r="E24" s="95">
        <f t="shared" si="0"/>
        <v>783.28</v>
      </c>
      <c r="F24" s="96">
        <f t="shared" si="1"/>
        <v>30965.769999999997</v>
      </c>
    </row>
    <row r="25" spans="1:8" x14ac:dyDescent="0.25">
      <c r="A25" s="65">
        <v>2037</v>
      </c>
      <c r="B25" s="101">
        <v>3170</v>
      </c>
      <c r="C25" s="94">
        <v>100</v>
      </c>
      <c r="D25" s="101">
        <f t="shared" si="2"/>
        <v>7</v>
      </c>
      <c r="E25" s="95">
        <f t="shared" si="0"/>
        <v>685.37</v>
      </c>
      <c r="F25" s="96">
        <f t="shared" si="1"/>
        <v>31034.299999999996</v>
      </c>
    </row>
    <row r="26" spans="1:8" ht="5.25" customHeight="1" x14ac:dyDescent="0.25">
      <c r="A26" s="68"/>
      <c r="B26" s="74"/>
      <c r="C26" s="74"/>
      <c r="D26" s="74"/>
      <c r="E26" s="68"/>
      <c r="F26" s="68"/>
    </row>
    <row r="27" spans="1:8" x14ac:dyDescent="0.25">
      <c r="A27" s="148" t="s">
        <v>113</v>
      </c>
      <c r="B27" s="148"/>
      <c r="C27" s="148"/>
      <c r="D27" s="148"/>
      <c r="E27" s="148"/>
      <c r="F27" s="99">
        <f>SUM(E5:E25)</f>
        <v>310374.70000000007</v>
      </c>
    </row>
    <row r="28" spans="1:8" x14ac:dyDescent="0.25">
      <c r="A28" s="148" t="s">
        <v>114</v>
      </c>
      <c r="B28" s="148"/>
      <c r="C28" s="148"/>
      <c r="D28" s="148"/>
      <c r="E28" s="148"/>
      <c r="F28" s="93">
        <f>SUM(F5:F25)</f>
        <v>636731.81000000006</v>
      </c>
      <c r="H28" s="92">
        <f>F27+F28</f>
        <v>947106.51000000013</v>
      </c>
    </row>
    <row r="29" spans="1:8" ht="5.25" customHeight="1" x14ac:dyDescent="0.25">
      <c r="A29" s="68"/>
      <c r="B29" s="68"/>
      <c r="C29" s="68"/>
      <c r="D29" s="68"/>
      <c r="E29" s="68"/>
      <c r="F29" s="68"/>
    </row>
    <row r="30" spans="1:8" x14ac:dyDescent="0.25">
      <c r="A30" s="116" t="s">
        <v>116</v>
      </c>
      <c r="B30" s="117"/>
      <c r="C30" s="117"/>
      <c r="D30" s="117"/>
      <c r="E30" s="117"/>
      <c r="F30" s="117"/>
    </row>
    <row r="31" spans="1:8" x14ac:dyDescent="0.25">
      <c r="A31" s="116" t="s">
        <v>115</v>
      </c>
      <c r="B31" s="117"/>
      <c r="C31" s="117"/>
      <c r="D31" s="117"/>
      <c r="E31" s="117"/>
      <c r="F31" s="117"/>
    </row>
    <row r="35" spans="6:6" x14ac:dyDescent="0.25">
      <c r="F35" s="98"/>
    </row>
    <row r="36" spans="6:6" x14ac:dyDescent="0.25">
      <c r="F36" s="73"/>
    </row>
    <row r="37" spans="6:6" ht="4.5" customHeight="1" x14ac:dyDescent="0.25">
      <c r="F37" s="62"/>
    </row>
    <row r="38" spans="6:6" x14ac:dyDescent="0.25">
      <c r="F38" s="97"/>
    </row>
    <row r="39" spans="6:6" x14ac:dyDescent="0.25">
      <c r="F39" s="73"/>
    </row>
    <row r="40" spans="6:6" ht="5.25" customHeight="1" x14ac:dyDescent="0.25">
      <c r="F40" s="73"/>
    </row>
    <row r="41" spans="6:6" x14ac:dyDescent="0.25">
      <c r="F41" s="73"/>
    </row>
    <row r="42" spans="6:6" x14ac:dyDescent="0.25">
      <c r="F42" s="73"/>
    </row>
    <row r="43" spans="6:6" ht="4.5" customHeight="1" x14ac:dyDescent="0.25">
      <c r="F43" s="62"/>
    </row>
    <row r="44" spans="6:6" x14ac:dyDescent="0.25">
      <c r="F44" s="98"/>
    </row>
    <row r="45" spans="6:6" x14ac:dyDescent="0.25">
      <c r="F45" s="73"/>
    </row>
    <row r="46" spans="6:6" ht="5.25" customHeight="1" x14ac:dyDescent="0.25">
      <c r="F46" s="73"/>
    </row>
    <row r="47" spans="6:6" x14ac:dyDescent="0.25">
      <c r="F47" s="73"/>
    </row>
    <row r="48" spans="6:6" x14ac:dyDescent="0.25">
      <c r="F48" s="68"/>
    </row>
    <row r="49" spans="6:6" x14ac:dyDescent="0.25">
      <c r="F49" s="109"/>
    </row>
    <row r="50" spans="6:6" ht="29.25" customHeight="1" x14ac:dyDescent="0.25">
      <c r="F50" s="147"/>
    </row>
  </sheetData>
  <mergeCells count="12">
    <mergeCell ref="A27:E27"/>
    <mergeCell ref="A28:E28"/>
    <mergeCell ref="A30:F30"/>
    <mergeCell ref="A31:F31"/>
    <mergeCell ref="F49:F50"/>
    <mergeCell ref="A2:F2"/>
    <mergeCell ref="A3:A4"/>
    <mergeCell ref="B3:B4"/>
    <mergeCell ref="C3:C4"/>
    <mergeCell ref="D3:D4"/>
    <mergeCell ref="E3:E4"/>
    <mergeCell ref="F3:F4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10</vt:i4>
      </vt:variant>
    </vt:vector>
  </HeadingPairs>
  <TitlesOfParts>
    <vt:vector size="10" baseType="lpstr">
      <vt:lpstr>Custos Ligações</vt:lpstr>
      <vt:lpstr>CUSTO UASB</vt:lpstr>
      <vt:lpstr>CUSTO LAGOA FACULTAT</vt:lpstr>
      <vt:lpstr>FILTRO BIOLOG</vt:lpstr>
      <vt:lpstr>Serie SNIS</vt:lpstr>
      <vt:lpstr>LAGOA ANAER E FACULTA</vt:lpstr>
      <vt:lpstr>Lagoa Facultativa</vt:lpstr>
      <vt:lpstr>Filtro Biológico</vt:lpstr>
      <vt:lpstr>UASB</vt:lpstr>
      <vt:lpstr>UASB + Filtro</vt:lpstr>
    </vt:vector>
  </TitlesOfParts>
  <Company>Hewlett-Packard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Henrique Cordeiro e Souza</dc:creator>
  <cp:lastModifiedBy>Davyd Faria</cp:lastModifiedBy>
  <dcterms:created xsi:type="dcterms:W3CDTF">2017-03-11T16:22:52Z</dcterms:created>
  <dcterms:modified xsi:type="dcterms:W3CDTF">2017-06-12T19:34:43Z</dcterms:modified>
</cp:coreProperties>
</file>